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0" windowWidth="16380" windowHeight="8190" tabRatio="657"/>
  </bookViews>
  <sheets>
    <sheet name="Produkteübersicht" sheetId="1" r:id="rId1"/>
    <sheet name="Fußnote" sheetId="2" r:id="rId2"/>
    <sheet name="LKF Kabel" sheetId="3" r:id="rId3"/>
    <sheet name="TabelleURL" sheetId="4" r:id="rId4"/>
    <sheet name="Universell" sheetId="5" r:id="rId5"/>
    <sheet name="Sprache" sheetId="6" state="hidden" r:id="rId6"/>
  </sheets>
  <definedNames>
    <definedName name="__xlnm.Print_Area_1">Produkteübersicht!$A$1:$M$812</definedName>
    <definedName name="_xlnm._FilterDatabase" localSheetId="0" hidden="1">Produkteübersicht!$A$4:$D$819</definedName>
    <definedName name="B_3406857">Produkteübersicht!$AT$769</definedName>
    <definedName name="_xlnm.Print_Area" localSheetId="0">Produkteübersicht!$A$1:$H$812</definedName>
  </definedNames>
  <calcPr calcId="145621"/>
</workbook>
</file>

<file path=xl/calcChain.xml><?xml version="1.0" encoding="utf-8"?>
<calcChain xmlns="http://schemas.openxmlformats.org/spreadsheetml/2006/main">
  <c r="AT445" i="1" l="1"/>
  <c r="Q220" i="1"/>
  <c r="G214" i="1"/>
  <c r="AP745" i="1"/>
  <c r="M220" i="1"/>
  <c r="P450" i="1"/>
  <c r="AT647" i="1"/>
  <c r="S295" i="1"/>
  <c r="AS227" i="1"/>
  <c r="AS232" i="1"/>
  <c r="AS240" i="1"/>
  <c r="AI44" i="1" l="1"/>
  <c r="G699" i="1"/>
  <c r="AI700" i="1"/>
  <c r="AI699" i="1"/>
  <c r="AT761" i="1" l="1"/>
  <c r="AS761" i="1"/>
  <c r="AH761" i="1"/>
  <c r="AG761" i="1"/>
  <c r="AF761" i="1"/>
  <c r="P761" i="1"/>
  <c r="M761" i="1"/>
  <c r="I761" i="1"/>
  <c r="G761" i="1"/>
  <c r="I399" i="1" l="1"/>
  <c r="G371" i="1"/>
  <c r="S294" i="1" l="1"/>
  <c r="AD97" i="1" l="1"/>
  <c r="AI146" i="1" l="1"/>
  <c r="AI197" i="1"/>
  <c r="AH753" i="1"/>
  <c r="AV745" i="1" l="1"/>
  <c r="AU745" i="1"/>
  <c r="I745" i="1"/>
  <c r="I744" i="1"/>
  <c r="I317" i="1" l="1"/>
  <c r="I661" i="1" l="1"/>
  <c r="G661" i="1"/>
  <c r="AT800" i="1" l="1"/>
  <c r="AT801" i="1"/>
  <c r="AT802" i="1"/>
  <c r="AT803" i="1"/>
  <c r="L385" i="1" l="1"/>
  <c r="G385" i="1" l="1"/>
  <c r="G577" i="1"/>
  <c r="I577" i="1"/>
  <c r="I385" i="1"/>
  <c r="M200" i="1" l="1"/>
  <c r="G200" i="1"/>
  <c r="Q243" i="1" l="1"/>
  <c r="Q235" i="1"/>
  <c r="Q223" i="1"/>
  <c r="Q216" i="1"/>
  <c r="Q207" i="1"/>
  <c r="Q803" i="1"/>
  <c r="Q802" i="1"/>
  <c r="Q801" i="1"/>
  <c r="Q759" i="1"/>
  <c r="Q758" i="1"/>
  <c r="Q757" i="1"/>
  <c r="Q444" i="1"/>
  <c r="Q443" i="1"/>
  <c r="Q433" i="1"/>
  <c r="Q432" i="1"/>
  <c r="Q431" i="1"/>
  <c r="Q430" i="1"/>
  <c r="Q246" i="1"/>
  <c r="Q245" i="1"/>
  <c r="Q240" i="1"/>
  <c r="Q239" i="1"/>
  <c r="Q182" i="1"/>
  <c r="Q181" i="1"/>
  <c r="Q180" i="1"/>
  <c r="I743" i="1" l="1"/>
  <c r="I737" i="1"/>
  <c r="I736" i="1"/>
  <c r="I729" i="1"/>
  <c r="I728" i="1"/>
  <c r="AT59" i="1" l="1"/>
  <c r="AP59" i="1"/>
  <c r="AI59" i="1"/>
  <c r="AH59" i="1"/>
  <c r="AG59" i="1"/>
  <c r="AF59" i="1"/>
  <c r="P59" i="1"/>
  <c r="M59" i="1"/>
  <c r="G59" i="1"/>
  <c r="AT83" i="1"/>
  <c r="AI208" i="1" l="1"/>
  <c r="P208" i="1"/>
  <c r="G208" i="1"/>
  <c r="S372" i="1" l="1"/>
  <c r="L291" i="1" l="1"/>
  <c r="AF603" i="1" l="1"/>
  <c r="M603" i="1"/>
  <c r="G603" i="1"/>
  <c r="S245" i="1" l="1"/>
  <c r="S239" i="1"/>
  <c r="P245" i="1" l="1"/>
  <c r="P237" i="1"/>
  <c r="P239" i="1"/>
  <c r="P246" i="1" l="1"/>
  <c r="P240" i="1"/>
  <c r="G246" i="1"/>
  <c r="G240" i="1"/>
  <c r="G227" i="1"/>
  <c r="AG36" i="1" l="1"/>
  <c r="AG34" i="1"/>
  <c r="AG29" i="1"/>
  <c r="AF36" i="1"/>
  <c r="AF34" i="1"/>
  <c r="AH36" i="1"/>
  <c r="AH34" i="1"/>
  <c r="AT36" i="1"/>
  <c r="AT34" i="1"/>
  <c r="P36" i="1"/>
  <c r="M36" i="1"/>
  <c r="I36" i="1"/>
  <c r="G36" i="1"/>
  <c r="AS661" i="1" l="1"/>
  <c r="AS652" i="1"/>
  <c r="AS771" i="1"/>
  <c r="AT771" i="1"/>
  <c r="AP771" i="1"/>
  <c r="AI771" i="1"/>
  <c r="AH771" i="1"/>
  <c r="AG771" i="1"/>
  <c r="AF771" i="1"/>
  <c r="P771" i="1"/>
  <c r="M771" i="1"/>
  <c r="I771" i="1"/>
  <c r="G771" i="1"/>
  <c r="AS780" i="1"/>
  <c r="AS779" i="1"/>
  <c r="AS752" i="1"/>
  <c r="AS817" i="1"/>
  <c r="AT817" i="1"/>
  <c r="AP817" i="1"/>
  <c r="AI817" i="1"/>
  <c r="AH817" i="1"/>
  <c r="AG817" i="1"/>
  <c r="AF817" i="1"/>
  <c r="P817" i="1"/>
  <c r="M817" i="1"/>
  <c r="I817" i="1"/>
  <c r="G817" i="1"/>
  <c r="AS816" i="1"/>
  <c r="AS803" i="1"/>
  <c r="AS802" i="1"/>
  <c r="AS801" i="1"/>
  <c r="AS781" i="1"/>
  <c r="AS770" i="1"/>
  <c r="AS749" i="1"/>
  <c r="AS741" i="1"/>
  <c r="AS732" i="1"/>
  <c r="AS744" i="1"/>
  <c r="AS737" i="1"/>
  <c r="AS729" i="1"/>
  <c r="AS464" i="1"/>
  <c r="AS223" i="1"/>
  <c r="AP245" i="1"/>
  <c r="AT28" i="1"/>
  <c r="AP803" i="1" l="1"/>
  <c r="L326" i="1" l="1"/>
  <c r="L325" i="1"/>
  <c r="L322" i="1"/>
  <c r="L319" i="1" l="1"/>
  <c r="L323" i="1"/>
  <c r="L320" i="1"/>
  <c r="L316" i="1"/>
  <c r="L315" i="1"/>
  <c r="L313" i="1"/>
  <c r="L314" i="1"/>
  <c r="L311" i="1"/>
  <c r="L312" i="1"/>
  <c r="L274" i="1"/>
  <c r="L275" i="1"/>
  <c r="L276" i="1"/>
  <c r="L277" i="1"/>
  <c r="L279" i="1"/>
  <c r="L280" i="1"/>
  <c r="L281" i="1"/>
  <c r="L282" i="1"/>
  <c r="L283" i="1"/>
  <c r="L284" i="1"/>
  <c r="L285" i="1"/>
  <c r="L287" i="1"/>
  <c r="L288" i="1"/>
  <c r="L289" i="1"/>
  <c r="AI536" i="1"/>
  <c r="AH536" i="1"/>
  <c r="M536" i="1"/>
  <c r="G536" i="1"/>
  <c r="AI523" i="1"/>
  <c r="AH523" i="1"/>
  <c r="M523" i="1"/>
  <c r="G523" i="1"/>
  <c r="AI518" i="1"/>
  <c r="AH518" i="1"/>
  <c r="M518" i="1"/>
  <c r="G518" i="1"/>
  <c r="AI534" i="1"/>
  <c r="AH534" i="1"/>
  <c r="M534" i="1"/>
  <c r="G534" i="1"/>
  <c r="AP543" i="1"/>
  <c r="AI543" i="1"/>
  <c r="AH543" i="1"/>
  <c r="M543" i="1"/>
  <c r="G543" i="1"/>
  <c r="AI528" i="1"/>
  <c r="AH528" i="1"/>
  <c r="M528" i="1"/>
  <c r="G528" i="1"/>
  <c r="AI131" i="1"/>
  <c r="AF131" i="1"/>
  <c r="M131" i="1"/>
  <c r="G131" i="1"/>
  <c r="AI134" i="1"/>
  <c r="AF134" i="1"/>
  <c r="M134" i="1"/>
  <c r="G134" i="1"/>
  <c r="AP146" i="1"/>
  <c r="AH146" i="1"/>
  <c r="AG146" i="1"/>
  <c r="AF146" i="1"/>
  <c r="AD146" i="1"/>
  <c r="M146" i="1"/>
  <c r="G146" i="1"/>
  <c r="AP83" i="1" l="1"/>
  <c r="AI83" i="1"/>
  <c r="AH83" i="1"/>
  <c r="AG83" i="1"/>
  <c r="AF83" i="1"/>
  <c r="P83" i="1"/>
  <c r="M83" i="1"/>
  <c r="G83" i="1"/>
  <c r="A4" i="1" l="1"/>
  <c r="AE3" i="1" l="1"/>
  <c r="E1" i="1" l="1"/>
  <c r="F1" i="1"/>
  <c r="R1" i="1"/>
  <c r="AH1" i="1"/>
  <c r="A3" i="1"/>
  <c r="G3" i="1"/>
  <c r="H3" i="1"/>
  <c r="I3" i="1"/>
  <c r="J3" i="1"/>
  <c r="K3" i="1"/>
  <c r="L3" i="1"/>
  <c r="M3" i="1"/>
  <c r="N3" i="1"/>
  <c r="O3" i="1"/>
  <c r="P3" i="1"/>
  <c r="Q3" i="1"/>
  <c r="R3" i="1"/>
  <c r="T3" i="1"/>
  <c r="V3" i="1"/>
  <c r="W3" i="1"/>
  <c r="X3" i="1"/>
  <c r="Z3" i="1"/>
  <c r="AA3" i="1"/>
  <c r="AB3" i="1"/>
  <c r="AC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F5" i="1"/>
  <c r="G6" i="1"/>
  <c r="M6" i="1"/>
  <c r="S6" i="1"/>
  <c r="AF6" i="1"/>
  <c r="G7" i="1"/>
  <c r="M7" i="1"/>
  <c r="S7" i="1"/>
  <c r="AF7" i="1"/>
  <c r="G8" i="1"/>
  <c r="M8" i="1"/>
  <c r="S8" i="1"/>
  <c r="AF8" i="1"/>
  <c r="AN8" i="1"/>
  <c r="G9" i="1"/>
  <c r="M9" i="1"/>
  <c r="S9" i="1"/>
  <c r="AF9" i="1"/>
  <c r="AN9" i="1"/>
  <c r="G11" i="1"/>
  <c r="M11" i="1"/>
  <c r="S11" i="1"/>
  <c r="AF11" i="1"/>
  <c r="AN11" i="1"/>
  <c r="G12" i="1"/>
  <c r="M12" i="1"/>
  <c r="S12" i="1"/>
  <c r="AF12" i="1"/>
  <c r="AN12" i="1"/>
  <c r="G13" i="1"/>
  <c r="M13" i="1"/>
  <c r="S13" i="1"/>
  <c r="AF13" i="1"/>
  <c r="G15" i="1"/>
  <c r="M15" i="1"/>
  <c r="S15" i="1"/>
  <c r="AF15" i="1"/>
  <c r="AN15" i="1"/>
  <c r="G16" i="1"/>
  <c r="M16" i="1"/>
  <c r="S16" i="1"/>
  <c r="AF16" i="1"/>
  <c r="AN16" i="1"/>
  <c r="G17" i="1"/>
  <c r="M17" i="1"/>
  <c r="S17" i="1"/>
  <c r="AF17" i="1"/>
  <c r="AN17" i="1"/>
  <c r="G18" i="1"/>
  <c r="M18" i="1"/>
  <c r="S18" i="1"/>
  <c r="AF18" i="1"/>
  <c r="AN18" i="1"/>
  <c r="G19" i="1"/>
  <c r="M19" i="1"/>
  <c r="S19" i="1"/>
  <c r="AF19" i="1"/>
  <c r="AN19" i="1"/>
  <c r="G20" i="1"/>
  <c r="M20" i="1"/>
  <c r="S20" i="1"/>
  <c r="AF20" i="1"/>
  <c r="AN20" i="1"/>
  <c r="G22" i="1"/>
  <c r="M22" i="1"/>
  <c r="N22" i="1"/>
  <c r="P22" i="1"/>
  <c r="AF22" i="1"/>
  <c r="AG22" i="1"/>
  <c r="AH22" i="1"/>
  <c r="AP22" i="1"/>
  <c r="AF23" i="1"/>
  <c r="S24" i="1"/>
  <c r="G25" i="1"/>
  <c r="M25" i="1"/>
  <c r="N25" i="1"/>
  <c r="P25" i="1"/>
  <c r="S25" i="1"/>
  <c r="AF25" i="1"/>
  <c r="AG25" i="1"/>
  <c r="AH25" i="1"/>
  <c r="AP25" i="1"/>
  <c r="G26" i="1"/>
  <c r="M26" i="1"/>
  <c r="N26" i="1"/>
  <c r="P26" i="1"/>
  <c r="S26" i="1"/>
  <c r="AF26" i="1"/>
  <c r="AG26" i="1"/>
  <c r="AH26" i="1"/>
  <c r="AP26" i="1"/>
  <c r="G27" i="1"/>
  <c r="I27" i="1"/>
  <c r="M27" i="1"/>
  <c r="N27" i="1"/>
  <c r="P27" i="1"/>
  <c r="S27" i="1"/>
  <c r="AF27" i="1"/>
  <c r="AG27" i="1"/>
  <c r="AH27" i="1"/>
  <c r="AP27" i="1"/>
  <c r="G28" i="1"/>
  <c r="I28" i="1"/>
  <c r="M28" i="1"/>
  <c r="P28" i="1"/>
  <c r="AF28" i="1"/>
  <c r="AG28" i="1"/>
  <c r="AH28" i="1"/>
  <c r="AI28" i="1"/>
  <c r="AP28" i="1"/>
  <c r="G29" i="1"/>
  <c r="I29" i="1"/>
  <c r="S29" i="1"/>
  <c r="AF29" i="1"/>
  <c r="G30" i="1"/>
  <c r="I30" i="1"/>
  <c r="S30" i="1"/>
  <c r="AF30" i="1"/>
  <c r="G31" i="1"/>
  <c r="I31" i="1"/>
  <c r="S31" i="1"/>
  <c r="AF31" i="1"/>
  <c r="AG31" i="1"/>
  <c r="G32" i="1"/>
  <c r="I32" i="1"/>
  <c r="S32" i="1"/>
  <c r="AF32" i="1"/>
  <c r="AG32" i="1"/>
  <c r="G33" i="1"/>
  <c r="M33" i="1"/>
  <c r="AF33" i="1"/>
  <c r="AG33" i="1"/>
  <c r="AH33" i="1"/>
  <c r="AI33" i="1"/>
  <c r="AP33" i="1"/>
  <c r="G34" i="1"/>
  <c r="I34" i="1"/>
  <c r="M34" i="1"/>
  <c r="P34" i="1"/>
  <c r="G35" i="1"/>
  <c r="M35" i="1"/>
  <c r="AF35" i="1"/>
  <c r="AG35" i="1"/>
  <c r="AH35" i="1"/>
  <c r="AP35" i="1"/>
  <c r="G37" i="1"/>
  <c r="I37" i="1"/>
  <c r="S37" i="1"/>
  <c r="AF37" i="1"/>
  <c r="G38" i="1"/>
  <c r="I38" i="1"/>
  <c r="S38" i="1"/>
  <c r="AF38" i="1"/>
  <c r="G39" i="1"/>
  <c r="M39" i="1"/>
  <c r="AF39" i="1"/>
  <c r="AG39" i="1"/>
  <c r="AH39" i="1"/>
  <c r="AI39" i="1"/>
  <c r="G40" i="1"/>
  <c r="M40" i="1"/>
  <c r="AF40" i="1"/>
  <c r="AG40" i="1"/>
  <c r="AH40" i="1"/>
  <c r="AI40" i="1"/>
  <c r="G41" i="1"/>
  <c r="AF41" i="1"/>
  <c r="AG41" i="1"/>
  <c r="AI41" i="1"/>
  <c r="AF42" i="1"/>
  <c r="G43" i="1"/>
  <c r="AF43" i="1"/>
  <c r="AG43" i="1"/>
  <c r="AI43" i="1"/>
  <c r="G44" i="1"/>
  <c r="M44" i="1"/>
  <c r="AF44" i="1"/>
  <c r="AG44" i="1"/>
  <c r="G46" i="1"/>
  <c r="AF46" i="1"/>
  <c r="AG46" i="1"/>
  <c r="AH46" i="1"/>
  <c r="AP46" i="1"/>
  <c r="G47" i="1"/>
  <c r="I47" i="1"/>
  <c r="M47" i="1"/>
  <c r="P47" i="1"/>
  <c r="AF47" i="1"/>
  <c r="AG47" i="1"/>
  <c r="AH47" i="1"/>
  <c r="AP47" i="1"/>
  <c r="G48" i="1"/>
  <c r="M48" i="1"/>
  <c r="AF48" i="1"/>
  <c r="AG48" i="1"/>
  <c r="AH48" i="1"/>
  <c r="AI48" i="1"/>
  <c r="AP48" i="1"/>
  <c r="G49" i="1"/>
  <c r="I49" i="1"/>
  <c r="M49" i="1"/>
  <c r="P49" i="1"/>
  <c r="G50" i="1"/>
  <c r="M50" i="1"/>
  <c r="AF50" i="1"/>
  <c r="AG50" i="1"/>
  <c r="AH50" i="1"/>
  <c r="G51" i="1"/>
  <c r="G52" i="1"/>
  <c r="I52" i="1"/>
  <c r="AP52" i="1"/>
  <c r="G53" i="1"/>
  <c r="I53" i="1"/>
  <c r="M53" i="1"/>
  <c r="N53" i="1"/>
  <c r="P53" i="1"/>
  <c r="S53" i="1"/>
  <c r="AF53" i="1"/>
  <c r="AG53" i="1"/>
  <c r="AP53" i="1"/>
  <c r="G54" i="1"/>
  <c r="I54" i="1"/>
  <c r="M54" i="1"/>
  <c r="N54" i="1"/>
  <c r="P54" i="1"/>
  <c r="S54" i="1"/>
  <c r="AF54" i="1"/>
  <c r="AG54" i="1"/>
  <c r="AP54" i="1"/>
  <c r="G55" i="1"/>
  <c r="I55" i="1"/>
  <c r="M55" i="1"/>
  <c r="P55" i="1"/>
  <c r="AF55" i="1"/>
  <c r="AG55" i="1"/>
  <c r="AP55" i="1"/>
  <c r="G56" i="1"/>
  <c r="AF56" i="1"/>
  <c r="G57" i="1"/>
  <c r="M57" i="1"/>
  <c r="O57" i="1"/>
  <c r="P57" i="1"/>
  <c r="AD57" i="1"/>
  <c r="AF57" i="1"/>
  <c r="AG57" i="1"/>
  <c r="AH57" i="1"/>
  <c r="AN57" i="1"/>
  <c r="AP57" i="1"/>
  <c r="G58" i="1"/>
  <c r="M58" i="1"/>
  <c r="O58" i="1"/>
  <c r="P58" i="1"/>
  <c r="AF58" i="1"/>
  <c r="AG58" i="1"/>
  <c r="AH58" i="1"/>
  <c r="AI58" i="1"/>
  <c r="AP58" i="1"/>
  <c r="AT58" i="1"/>
  <c r="G60" i="1"/>
  <c r="M60" i="1"/>
  <c r="O60" i="1"/>
  <c r="P60" i="1"/>
  <c r="AF60" i="1"/>
  <c r="AG60" i="1"/>
  <c r="AH60" i="1"/>
  <c r="AI60" i="1"/>
  <c r="AP60" i="1"/>
  <c r="AT60" i="1"/>
  <c r="G61" i="1"/>
  <c r="M61" i="1"/>
  <c r="O61" i="1"/>
  <c r="P61" i="1"/>
  <c r="AF61" i="1"/>
  <c r="AG61" i="1"/>
  <c r="AH61" i="1"/>
  <c r="AI61" i="1"/>
  <c r="AP61" i="1"/>
  <c r="AT61" i="1"/>
  <c r="G62" i="1"/>
  <c r="M62" i="1"/>
  <c r="O62" i="1"/>
  <c r="P62" i="1"/>
  <c r="AF62" i="1"/>
  <c r="AG62" i="1"/>
  <c r="AH62" i="1"/>
  <c r="AI62" i="1"/>
  <c r="AP62" i="1"/>
  <c r="AT62" i="1"/>
  <c r="G66" i="1"/>
  <c r="M66" i="1"/>
  <c r="O66" i="1"/>
  <c r="P66" i="1"/>
  <c r="AD66" i="1"/>
  <c r="AF66" i="1"/>
  <c r="AG66" i="1"/>
  <c r="AH66" i="1"/>
  <c r="AN66" i="1"/>
  <c r="AP66" i="1"/>
  <c r="G67" i="1"/>
  <c r="M67" i="1"/>
  <c r="O67" i="1"/>
  <c r="P67" i="1"/>
  <c r="AF67" i="1"/>
  <c r="AG67" i="1"/>
  <c r="AH67" i="1"/>
  <c r="AI67" i="1"/>
  <c r="AP67" i="1"/>
  <c r="AT67" i="1"/>
  <c r="G68" i="1"/>
  <c r="M68" i="1"/>
  <c r="O68" i="1"/>
  <c r="P68" i="1"/>
  <c r="AF68" i="1"/>
  <c r="AG68" i="1"/>
  <c r="AH68" i="1"/>
  <c r="AI68" i="1"/>
  <c r="AP68" i="1"/>
  <c r="AT68" i="1"/>
  <c r="G71" i="1"/>
  <c r="M71" i="1"/>
  <c r="O71" i="1"/>
  <c r="P71" i="1"/>
  <c r="AF71" i="1"/>
  <c r="AG71" i="1"/>
  <c r="AH71" i="1"/>
  <c r="AI71" i="1"/>
  <c r="AN71" i="1"/>
  <c r="AP71" i="1"/>
  <c r="G72" i="1"/>
  <c r="M72" i="1"/>
  <c r="O72" i="1"/>
  <c r="P72" i="1"/>
  <c r="AF72" i="1"/>
  <c r="AG72" i="1"/>
  <c r="AH72" i="1"/>
  <c r="AI72" i="1"/>
  <c r="AN72" i="1"/>
  <c r="AP72" i="1"/>
  <c r="G73" i="1"/>
  <c r="M73" i="1"/>
  <c r="O73" i="1"/>
  <c r="P73" i="1"/>
  <c r="AF73" i="1"/>
  <c r="AG73" i="1"/>
  <c r="AH73" i="1"/>
  <c r="AI73" i="1"/>
  <c r="AP73" i="1"/>
  <c r="AT73" i="1"/>
  <c r="G74" i="1"/>
  <c r="M74" i="1"/>
  <c r="O74" i="1"/>
  <c r="P74" i="1"/>
  <c r="AF74" i="1"/>
  <c r="AG74" i="1"/>
  <c r="AH74" i="1"/>
  <c r="AI74" i="1"/>
  <c r="AP74" i="1"/>
  <c r="AT74" i="1"/>
  <c r="G75" i="1"/>
  <c r="M75" i="1"/>
  <c r="O75" i="1"/>
  <c r="P75" i="1"/>
  <c r="AF75" i="1"/>
  <c r="AG75" i="1"/>
  <c r="AH75" i="1"/>
  <c r="AN75" i="1"/>
  <c r="AP75" i="1"/>
  <c r="G76" i="1"/>
  <c r="M76" i="1"/>
  <c r="O76" i="1"/>
  <c r="P76" i="1"/>
  <c r="AF76" i="1"/>
  <c r="AG76" i="1"/>
  <c r="AH76" i="1"/>
  <c r="AN76" i="1"/>
  <c r="AP76" i="1"/>
  <c r="AF77" i="1"/>
  <c r="AG77" i="1"/>
  <c r="AH77" i="1"/>
  <c r="AI77" i="1"/>
  <c r="AP77" i="1"/>
  <c r="AT77" i="1"/>
  <c r="G78" i="1"/>
  <c r="M78" i="1"/>
  <c r="O78" i="1"/>
  <c r="P78" i="1"/>
  <c r="AF78" i="1"/>
  <c r="AG78" i="1"/>
  <c r="AH78" i="1"/>
  <c r="AN78" i="1"/>
  <c r="AP78" i="1"/>
  <c r="G79" i="1"/>
  <c r="M79" i="1"/>
  <c r="O79" i="1"/>
  <c r="P79" i="1"/>
  <c r="AF79" i="1"/>
  <c r="AG79" i="1"/>
  <c r="AH79" i="1"/>
  <c r="AI79" i="1"/>
  <c r="AN79" i="1"/>
  <c r="AP79" i="1"/>
  <c r="AT79" i="1"/>
  <c r="G80" i="1"/>
  <c r="AI80" i="1"/>
  <c r="AT80" i="1"/>
  <c r="G81" i="1"/>
  <c r="M81" i="1"/>
  <c r="P81" i="1"/>
  <c r="AF81" i="1"/>
  <c r="AG81" i="1"/>
  <c r="AH81" i="1"/>
  <c r="AI81" i="1"/>
  <c r="AP81" i="1"/>
  <c r="G82" i="1"/>
  <c r="M82" i="1"/>
  <c r="O82" i="1"/>
  <c r="P82" i="1"/>
  <c r="AD82" i="1"/>
  <c r="AF82" i="1"/>
  <c r="AG82" i="1"/>
  <c r="AH82" i="1"/>
  <c r="AP82" i="1"/>
  <c r="AG84" i="1"/>
  <c r="AH84" i="1"/>
  <c r="AP84" i="1"/>
  <c r="AG85" i="1"/>
  <c r="AH85" i="1"/>
  <c r="AP85" i="1"/>
  <c r="G86" i="1"/>
  <c r="M86" i="1"/>
  <c r="O86" i="1"/>
  <c r="P86" i="1"/>
  <c r="AF86" i="1"/>
  <c r="AG86" i="1"/>
  <c r="AH86" i="1"/>
  <c r="AI86" i="1"/>
  <c r="AP86" i="1"/>
  <c r="AT86" i="1"/>
  <c r="G87" i="1"/>
  <c r="M87" i="1"/>
  <c r="O87" i="1"/>
  <c r="P87" i="1"/>
  <c r="AF87" i="1"/>
  <c r="AG87" i="1"/>
  <c r="AH87" i="1"/>
  <c r="AI87" i="1"/>
  <c r="AP87" i="1"/>
  <c r="AT87" i="1"/>
  <c r="G90" i="1"/>
  <c r="M90" i="1"/>
  <c r="O90" i="1"/>
  <c r="P90" i="1"/>
  <c r="AF90" i="1"/>
  <c r="AG90" i="1"/>
  <c r="AH90" i="1"/>
  <c r="AP90" i="1"/>
  <c r="G91" i="1"/>
  <c r="M91" i="1"/>
  <c r="O91" i="1"/>
  <c r="P91" i="1"/>
  <c r="AF91" i="1"/>
  <c r="AG91" i="1"/>
  <c r="AH91" i="1"/>
  <c r="AI91" i="1"/>
  <c r="AP91" i="1"/>
  <c r="AT91" i="1"/>
  <c r="G92" i="1"/>
  <c r="M92" i="1"/>
  <c r="O92" i="1"/>
  <c r="P92" i="1"/>
  <c r="AD92" i="1"/>
  <c r="AF92" i="1"/>
  <c r="AG92" i="1"/>
  <c r="AH92" i="1"/>
  <c r="AP92" i="1"/>
  <c r="G93" i="1"/>
  <c r="M93" i="1"/>
  <c r="O93" i="1"/>
  <c r="P93" i="1"/>
  <c r="AF93" i="1"/>
  <c r="AG93" i="1"/>
  <c r="AH93" i="1"/>
  <c r="AI93" i="1"/>
  <c r="AP93" i="1"/>
  <c r="AT93" i="1"/>
  <c r="AF94" i="1"/>
  <c r="AG94" i="1"/>
  <c r="AH94" i="1"/>
  <c r="AP94" i="1"/>
  <c r="AF95" i="1"/>
  <c r="AG95" i="1"/>
  <c r="AH95" i="1"/>
  <c r="AP95" i="1"/>
  <c r="G96" i="1"/>
  <c r="M96" i="1"/>
  <c r="O96" i="1"/>
  <c r="P96" i="1"/>
  <c r="G98" i="1"/>
  <c r="I98" i="1"/>
  <c r="M98" i="1"/>
  <c r="AH98" i="1"/>
  <c r="G99" i="1"/>
  <c r="I99" i="1"/>
  <c r="M99" i="1"/>
  <c r="AH99" i="1"/>
  <c r="AI99" i="1"/>
  <c r="G103" i="1"/>
  <c r="I103" i="1"/>
  <c r="M103" i="1"/>
  <c r="AH103" i="1"/>
  <c r="AI103" i="1"/>
  <c r="G104" i="1"/>
  <c r="I104" i="1"/>
  <c r="M104" i="1"/>
  <c r="AH104" i="1"/>
  <c r="AI104" i="1"/>
  <c r="G105" i="1"/>
  <c r="I105" i="1"/>
  <c r="M105" i="1"/>
  <c r="AH105" i="1"/>
  <c r="AI105" i="1"/>
  <c r="G106" i="1"/>
  <c r="I106" i="1"/>
  <c r="M106" i="1"/>
  <c r="AH106" i="1"/>
  <c r="AI106" i="1"/>
  <c r="G107" i="1"/>
  <c r="M107" i="1"/>
  <c r="P107" i="1"/>
  <c r="S107" i="1"/>
  <c r="AF107" i="1"/>
  <c r="AI107" i="1"/>
  <c r="G108" i="1"/>
  <c r="M108" i="1"/>
  <c r="P108" i="1"/>
  <c r="S108" i="1"/>
  <c r="AF108" i="1"/>
  <c r="AI108" i="1"/>
  <c r="G109" i="1"/>
  <c r="AI109" i="1"/>
  <c r="G110" i="1"/>
  <c r="M110" i="1"/>
  <c r="P110" i="1"/>
  <c r="S110" i="1"/>
  <c r="G111" i="1"/>
  <c r="M111" i="1"/>
  <c r="P111" i="1"/>
  <c r="AF111" i="1"/>
  <c r="G112" i="1"/>
  <c r="S112" i="1"/>
  <c r="AF112" i="1"/>
  <c r="G113" i="1"/>
  <c r="S113" i="1"/>
  <c r="AF113" i="1"/>
  <c r="G115" i="1"/>
  <c r="M115" i="1"/>
  <c r="AD115" i="1"/>
  <c r="AF115" i="1"/>
  <c r="AG115" i="1"/>
  <c r="AI115" i="1"/>
  <c r="AP115" i="1"/>
  <c r="G116" i="1"/>
  <c r="AD116" i="1"/>
  <c r="AF116" i="1"/>
  <c r="AG116" i="1"/>
  <c r="AI116" i="1"/>
  <c r="AP116" i="1"/>
  <c r="G117" i="1"/>
  <c r="AF117" i="1"/>
  <c r="AI117" i="1"/>
  <c r="G118" i="1"/>
  <c r="AF118" i="1"/>
  <c r="AI118" i="1"/>
  <c r="G119" i="1"/>
  <c r="M119" i="1"/>
  <c r="S119" i="1"/>
  <c r="AF119" i="1"/>
  <c r="AG119" i="1"/>
  <c r="AH119" i="1"/>
  <c r="AI119" i="1"/>
  <c r="AP119" i="1"/>
  <c r="G120" i="1"/>
  <c r="M120" i="1"/>
  <c r="S120" i="1"/>
  <c r="AF120" i="1"/>
  <c r="AG120" i="1"/>
  <c r="AH120" i="1"/>
  <c r="AI120" i="1"/>
  <c r="AP120" i="1"/>
  <c r="G121" i="1"/>
  <c r="M121" i="1"/>
  <c r="AD124" i="1"/>
  <c r="G125" i="1"/>
  <c r="AD125" i="1"/>
  <c r="AF125" i="1"/>
  <c r="AG125" i="1"/>
  <c r="AI125" i="1"/>
  <c r="AP125" i="1"/>
  <c r="G127" i="1"/>
  <c r="M127" i="1"/>
  <c r="AF127" i="1"/>
  <c r="AG127" i="1"/>
  <c r="AI127" i="1"/>
  <c r="AP127" i="1"/>
  <c r="G129" i="1"/>
  <c r="M129" i="1"/>
  <c r="AD129" i="1"/>
  <c r="AF129" i="1"/>
  <c r="AG129" i="1"/>
  <c r="AH129" i="1"/>
  <c r="AP129" i="1"/>
  <c r="AF130" i="1"/>
  <c r="AI130" i="1"/>
  <c r="G133" i="1"/>
  <c r="M133" i="1"/>
  <c r="AF133" i="1"/>
  <c r="AI133" i="1"/>
  <c r="AD135" i="1"/>
  <c r="AF135" i="1"/>
  <c r="AG135" i="1"/>
  <c r="AP135" i="1"/>
  <c r="AD136" i="1"/>
  <c r="AF136" i="1"/>
  <c r="AG136" i="1"/>
  <c r="AP136" i="1"/>
  <c r="G137" i="1"/>
  <c r="M137" i="1"/>
  <c r="AD137" i="1"/>
  <c r="AF137" i="1"/>
  <c r="AG137" i="1"/>
  <c r="AH137" i="1"/>
  <c r="AI137" i="1"/>
  <c r="AP137" i="1"/>
  <c r="AD138" i="1"/>
  <c r="AF138" i="1"/>
  <c r="AG138" i="1"/>
  <c r="AP138" i="1"/>
  <c r="G139" i="1"/>
  <c r="M139" i="1"/>
  <c r="AF139" i="1"/>
  <c r="AG139" i="1"/>
  <c r="AH139" i="1"/>
  <c r="AI139" i="1"/>
  <c r="AP139" i="1"/>
  <c r="G140" i="1"/>
  <c r="AF140" i="1"/>
  <c r="AG140" i="1"/>
  <c r="AP140" i="1"/>
  <c r="G141" i="1"/>
  <c r="AF141" i="1"/>
  <c r="AG141" i="1"/>
  <c r="AP141" i="1"/>
  <c r="G142" i="1"/>
  <c r="M142" i="1"/>
  <c r="S142" i="1"/>
  <c r="AF142" i="1"/>
  <c r="AG142" i="1"/>
  <c r="AI142" i="1"/>
  <c r="AP142" i="1"/>
  <c r="G143" i="1"/>
  <c r="M143" i="1"/>
  <c r="S143" i="1"/>
  <c r="AF143" i="1"/>
  <c r="AG143" i="1"/>
  <c r="AI143" i="1"/>
  <c r="AP143" i="1"/>
  <c r="G144" i="1"/>
  <c r="M144" i="1"/>
  <c r="AF144" i="1"/>
  <c r="AG144" i="1"/>
  <c r="AI144" i="1"/>
  <c r="AP144" i="1"/>
  <c r="G145" i="1"/>
  <c r="M145" i="1"/>
  <c r="AD145" i="1"/>
  <c r="AF145" i="1"/>
  <c r="AG145" i="1"/>
  <c r="AH145" i="1"/>
  <c r="AI145" i="1"/>
  <c r="AP145" i="1"/>
  <c r="G147" i="1"/>
  <c r="I147" i="1"/>
  <c r="AD147" i="1"/>
  <c r="AF147" i="1"/>
  <c r="AG147" i="1"/>
  <c r="AP147" i="1"/>
  <c r="AD148" i="1"/>
  <c r="G149" i="1"/>
  <c r="AD149" i="1"/>
  <c r="AF149" i="1"/>
  <c r="AG149" i="1"/>
  <c r="AP149" i="1"/>
  <c r="G150" i="1"/>
  <c r="G152" i="1"/>
  <c r="P152" i="1"/>
  <c r="S154" i="1"/>
  <c r="G155" i="1"/>
  <c r="S156" i="1"/>
  <c r="G157" i="1"/>
  <c r="M157" i="1"/>
  <c r="P157" i="1"/>
  <c r="S157" i="1"/>
  <c r="AF157" i="1"/>
  <c r="G158" i="1"/>
  <c r="M158" i="1"/>
  <c r="P158" i="1"/>
  <c r="S158" i="1"/>
  <c r="AF158" i="1"/>
  <c r="G159" i="1"/>
  <c r="S159" i="1"/>
  <c r="AF159" i="1"/>
  <c r="G160" i="1"/>
  <c r="S160" i="1"/>
  <c r="AF160" i="1"/>
  <c r="G161" i="1"/>
  <c r="S161" i="1"/>
  <c r="G162" i="1"/>
  <c r="S162" i="1"/>
  <c r="G163" i="1"/>
  <c r="S163" i="1"/>
  <c r="G164" i="1"/>
  <c r="S164" i="1"/>
  <c r="AI165" i="1"/>
  <c r="G166" i="1"/>
  <c r="M166" i="1"/>
  <c r="P166" i="1"/>
  <c r="AF166" i="1"/>
  <c r="G167" i="1"/>
  <c r="M167" i="1"/>
  <c r="P167" i="1"/>
  <c r="S167" i="1"/>
  <c r="AF167" i="1"/>
  <c r="G168" i="1"/>
  <c r="I168" i="1"/>
  <c r="M168" i="1"/>
  <c r="S168" i="1"/>
  <c r="AF168" i="1"/>
  <c r="AG168" i="1"/>
  <c r="AH168" i="1"/>
  <c r="AN168" i="1"/>
  <c r="AP168" i="1"/>
  <c r="G169" i="1"/>
  <c r="I169" i="1"/>
  <c r="M169" i="1"/>
  <c r="S169" i="1"/>
  <c r="AF169" i="1"/>
  <c r="AG169" i="1"/>
  <c r="AH169" i="1"/>
  <c r="AN169" i="1"/>
  <c r="AP169" i="1"/>
  <c r="G170" i="1"/>
  <c r="I170" i="1"/>
  <c r="M170" i="1"/>
  <c r="AG170" i="1"/>
  <c r="AH170" i="1"/>
  <c r="AP170" i="1"/>
  <c r="G171" i="1"/>
  <c r="I171" i="1"/>
  <c r="M171" i="1"/>
  <c r="AG171" i="1"/>
  <c r="AH171" i="1"/>
  <c r="AP171" i="1"/>
  <c r="G172" i="1"/>
  <c r="I172" i="1"/>
  <c r="M172" i="1"/>
  <c r="S172" i="1"/>
  <c r="AF172" i="1"/>
  <c r="AG172" i="1"/>
  <c r="AN172" i="1"/>
  <c r="AP172" i="1"/>
  <c r="G173" i="1"/>
  <c r="I173" i="1"/>
  <c r="M173" i="1"/>
  <c r="S173" i="1"/>
  <c r="AF173" i="1"/>
  <c r="AG173" i="1"/>
  <c r="AN173" i="1"/>
  <c r="AP173" i="1"/>
  <c r="G174" i="1"/>
  <c r="I174" i="1"/>
  <c r="M174" i="1"/>
  <c r="S174" i="1"/>
  <c r="AF174" i="1"/>
  <c r="AG174" i="1"/>
  <c r="AN174" i="1"/>
  <c r="AP174" i="1"/>
  <c r="G175" i="1"/>
  <c r="I175" i="1"/>
  <c r="M175" i="1"/>
  <c r="S175" i="1"/>
  <c r="AF175" i="1"/>
  <c r="AG175" i="1"/>
  <c r="AN175" i="1"/>
  <c r="AP175" i="1"/>
  <c r="G176" i="1"/>
  <c r="I176" i="1"/>
  <c r="M176" i="1"/>
  <c r="P176" i="1"/>
  <c r="S176" i="1"/>
  <c r="AF176" i="1"/>
  <c r="AG176" i="1"/>
  <c r="AH176" i="1"/>
  <c r="AP176" i="1"/>
  <c r="G177" i="1"/>
  <c r="I177" i="1"/>
  <c r="M177" i="1"/>
  <c r="P177" i="1"/>
  <c r="S177" i="1"/>
  <c r="AF177" i="1"/>
  <c r="AG177" i="1"/>
  <c r="AH177" i="1"/>
  <c r="AP177" i="1"/>
  <c r="G178" i="1"/>
  <c r="M178" i="1"/>
  <c r="S178" i="1"/>
  <c r="AF178" i="1"/>
  <c r="AG178" i="1"/>
  <c r="AI178" i="1"/>
  <c r="AP178" i="1"/>
  <c r="G179" i="1"/>
  <c r="M179" i="1"/>
  <c r="S179" i="1"/>
  <c r="AF179" i="1"/>
  <c r="AG179" i="1"/>
  <c r="AH179" i="1"/>
  <c r="AI179" i="1"/>
  <c r="AP179" i="1"/>
  <c r="G180" i="1"/>
  <c r="M180" i="1"/>
  <c r="S180" i="1"/>
  <c r="AF180" i="1"/>
  <c r="AG180" i="1"/>
  <c r="AH180" i="1"/>
  <c r="AI180" i="1"/>
  <c r="AP180" i="1"/>
  <c r="S181" i="1"/>
  <c r="AF181" i="1"/>
  <c r="AG181" i="1"/>
  <c r="AH181" i="1"/>
  <c r="AI181" i="1"/>
  <c r="AP181" i="1"/>
  <c r="G182" i="1"/>
  <c r="M182" i="1"/>
  <c r="S182" i="1"/>
  <c r="AF182" i="1"/>
  <c r="AG182" i="1"/>
  <c r="AH182" i="1"/>
  <c r="AI182" i="1"/>
  <c r="AP182" i="1"/>
  <c r="G183" i="1"/>
  <c r="I183" i="1"/>
  <c r="M183" i="1"/>
  <c r="S183" i="1"/>
  <c r="AF183" i="1"/>
  <c r="AG183" i="1"/>
  <c r="AP183" i="1"/>
  <c r="G184" i="1"/>
  <c r="P184" i="1"/>
  <c r="AF184" i="1"/>
  <c r="AI184" i="1"/>
  <c r="AP184" i="1"/>
  <c r="G186" i="1"/>
  <c r="I186" i="1"/>
  <c r="S186" i="1"/>
  <c r="AF186" i="1"/>
  <c r="AG186" i="1"/>
  <c r="AN186" i="1"/>
  <c r="AP186" i="1"/>
  <c r="G187" i="1"/>
  <c r="I187" i="1"/>
  <c r="M187" i="1"/>
  <c r="S187" i="1"/>
  <c r="AF187" i="1"/>
  <c r="AG187" i="1"/>
  <c r="AN187" i="1"/>
  <c r="AP187" i="1"/>
  <c r="S188" i="1"/>
  <c r="S189" i="1"/>
  <c r="AF189" i="1"/>
  <c r="AG189" i="1"/>
  <c r="AN189" i="1"/>
  <c r="AP189" i="1"/>
  <c r="G190" i="1"/>
  <c r="I190" i="1"/>
  <c r="M190" i="1"/>
  <c r="S190" i="1"/>
  <c r="AF190" i="1"/>
  <c r="AG190" i="1"/>
  <c r="AP190" i="1"/>
  <c r="AF191" i="1"/>
  <c r="G192" i="1"/>
  <c r="I192" i="1"/>
  <c r="AF192" i="1"/>
  <c r="AG192" i="1"/>
  <c r="AP192" i="1"/>
  <c r="G193" i="1"/>
  <c r="I193" i="1"/>
  <c r="M193" i="1"/>
  <c r="S193" i="1"/>
  <c r="AF193" i="1"/>
  <c r="AG193" i="1"/>
  <c r="AN193" i="1"/>
  <c r="AP193" i="1"/>
  <c r="G194" i="1"/>
  <c r="I194" i="1"/>
  <c r="M194" i="1"/>
  <c r="S194" i="1"/>
  <c r="AF194" i="1"/>
  <c r="AG194" i="1"/>
  <c r="AN194" i="1"/>
  <c r="AP194" i="1"/>
  <c r="G195" i="1"/>
  <c r="I195" i="1"/>
  <c r="M195" i="1"/>
  <c r="S195" i="1"/>
  <c r="AF195" i="1"/>
  <c r="AG195" i="1"/>
  <c r="AN195" i="1"/>
  <c r="AP195" i="1"/>
  <c r="G196" i="1"/>
  <c r="M196" i="1"/>
  <c r="AD196" i="1"/>
  <c r="AF196" i="1"/>
  <c r="AG196" i="1"/>
  <c r="AH196" i="1"/>
  <c r="AI196" i="1"/>
  <c r="AN196" i="1"/>
  <c r="AP196" i="1"/>
  <c r="M198" i="1"/>
  <c r="S198" i="1"/>
  <c r="AF198" i="1"/>
  <c r="AP198" i="1"/>
  <c r="G199" i="1"/>
  <c r="I199" i="1"/>
  <c r="S199" i="1"/>
  <c r="AF199" i="1"/>
  <c r="AG199" i="1"/>
  <c r="AN199" i="1"/>
  <c r="AP199" i="1"/>
  <c r="AF201" i="1"/>
  <c r="AG201" i="1"/>
  <c r="AN201" i="1"/>
  <c r="AP201" i="1"/>
  <c r="G202" i="1"/>
  <c r="M202" i="1"/>
  <c r="AD202" i="1"/>
  <c r="AF202" i="1"/>
  <c r="AG202" i="1"/>
  <c r="AH202" i="1"/>
  <c r="AI202" i="1"/>
  <c r="AN202" i="1"/>
  <c r="AP202" i="1"/>
  <c r="G203" i="1"/>
  <c r="I203" i="1"/>
  <c r="M203" i="1"/>
  <c r="S203" i="1"/>
  <c r="AF203" i="1"/>
  <c r="AP203" i="1"/>
  <c r="I204" i="1"/>
  <c r="AH204" i="1"/>
  <c r="G206" i="1"/>
  <c r="I206" i="1"/>
  <c r="S206" i="1"/>
  <c r="W206" i="1"/>
  <c r="AF206" i="1"/>
  <c r="G207" i="1"/>
  <c r="I207" i="1"/>
  <c r="P207" i="1"/>
  <c r="AH207" i="1"/>
  <c r="AI207" i="1"/>
  <c r="S209" i="1"/>
  <c r="G210" i="1"/>
  <c r="G211" i="1"/>
  <c r="I211" i="1"/>
  <c r="S211" i="1"/>
  <c r="W211" i="1"/>
  <c r="AF211" i="1"/>
  <c r="G212" i="1"/>
  <c r="I212" i="1"/>
  <c r="AF212" i="1"/>
  <c r="G215" i="1"/>
  <c r="I215" i="1"/>
  <c r="S215" i="1"/>
  <c r="W215" i="1"/>
  <c r="AF215" i="1"/>
  <c r="AI215" i="1"/>
  <c r="G216" i="1"/>
  <c r="I216" i="1"/>
  <c r="P216" i="1"/>
  <c r="AH216" i="1"/>
  <c r="AI216" i="1"/>
  <c r="G217" i="1"/>
  <c r="I217" i="1"/>
  <c r="S217" i="1"/>
  <c r="W217" i="1"/>
  <c r="AF217" i="1"/>
  <c r="G218" i="1"/>
  <c r="I218" i="1"/>
  <c r="S218" i="1"/>
  <c r="W218" i="1"/>
  <c r="AF218" i="1"/>
  <c r="AI218" i="1"/>
  <c r="G219" i="1"/>
  <c r="S219" i="1"/>
  <c r="W219" i="1"/>
  <c r="AD219" i="1"/>
  <c r="AH219" i="1"/>
  <c r="AI219" i="1"/>
  <c r="G220" i="1"/>
  <c r="P220" i="1"/>
  <c r="AI220" i="1"/>
  <c r="G221" i="1"/>
  <c r="I221" i="1"/>
  <c r="M221" i="1"/>
  <c r="S221" i="1"/>
  <c r="AN221" i="1"/>
  <c r="G222" i="1"/>
  <c r="I222" i="1"/>
  <c r="S222" i="1"/>
  <c r="W222" i="1"/>
  <c r="AF222" i="1"/>
  <c r="AI222" i="1"/>
  <c r="G223" i="1"/>
  <c r="I223" i="1"/>
  <c r="P223" i="1"/>
  <c r="AD223" i="1"/>
  <c r="AH223" i="1"/>
  <c r="AI223" i="1"/>
  <c r="G224" i="1"/>
  <c r="S224" i="1"/>
  <c r="W224" i="1"/>
  <c r="AI224" i="1"/>
  <c r="G225" i="1"/>
  <c r="I225" i="1"/>
  <c r="S225" i="1"/>
  <c r="W225" i="1"/>
  <c r="AF225" i="1"/>
  <c r="AH225" i="1"/>
  <c r="AI225" i="1"/>
  <c r="G226" i="1"/>
  <c r="S226" i="1"/>
  <c r="W226" i="1"/>
  <c r="AD226" i="1"/>
  <c r="AH226" i="1"/>
  <c r="AI226" i="1"/>
  <c r="P227" i="1"/>
  <c r="AI227" i="1"/>
  <c r="G228" i="1"/>
  <c r="M228" i="1"/>
  <c r="G229" i="1"/>
  <c r="P229" i="1"/>
  <c r="G230" i="1"/>
  <c r="I230" i="1"/>
  <c r="S230" i="1"/>
  <c r="W230" i="1"/>
  <c r="AF230" i="1"/>
  <c r="AI230" i="1"/>
  <c r="G231" i="1"/>
  <c r="S231" i="1"/>
  <c r="W231" i="1"/>
  <c r="AD231" i="1"/>
  <c r="AH231" i="1"/>
  <c r="AI231" i="1"/>
  <c r="G232" i="1"/>
  <c r="P232" i="1"/>
  <c r="AI232" i="1"/>
  <c r="G233" i="1"/>
  <c r="G234" i="1"/>
  <c r="AI234" i="1"/>
  <c r="G235" i="1"/>
  <c r="I235" i="1"/>
  <c r="P235" i="1"/>
  <c r="AH235" i="1"/>
  <c r="AI235" i="1"/>
  <c r="G237" i="1"/>
  <c r="M237" i="1"/>
  <c r="AI237" i="1"/>
  <c r="AP237" i="1"/>
  <c r="G238" i="1"/>
  <c r="AH238" i="1"/>
  <c r="AI238" i="1"/>
  <c r="G239" i="1"/>
  <c r="M239" i="1"/>
  <c r="AI239" i="1"/>
  <c r="AP239" i="1"/>
  <c r="G241" i="1"/>
  <c r="S241" i="1"/>
  <c r="W241" i="1"/>
  <c r="G242" i="1"/>
  <c r="S242" i="1"/>
  <c r="W242" i="1"/>
  <c r="AI242" i="1"/>
  <c r="G243" i="1"/>
  <c r="I243" i="1"/>
  <c r="P243" i="1"/>
  <c r="AH243" i="1"/>
  <c r="AI243" i="1"/>
  <c r="G245" i="1"/>
  <c r="M245" i="1"/>
  <c r="AI245" i="1"/>
  <c r="S247" i="1"/>
  <c r="G248" i="1"/>
  <c r="I248" i="1"/>
  <c r="M248" i="1"/>
  <c r="S248" i="1"/>
  <c r="S250" i="1"/>
  <c r="S251" i="1"/>
  <c r="S252" i="1"/>
  <c r="G255" i="1"/>
  <c r="S255" i="1"/>
  <c r="G256" i="1"/>
  <c r="I256" i="1"/>
  <c r="P256" i="1"/>
  <c r="S257" i="1"/>
  <c r="S258" i="1"/>
  <c r="S259" i="1"/>
  <c r="S260" i="1"/>
  <c r="G261" i="1"/>
  <c r="I261" i="1"/>
  <c r="S262" i="1"/>
  <c r="G264" i="1"/>
  <c r="S264" i="1"/>
  <c r="S265" i="1"/>
  <c r="S266" i="1"/>
  <c r="S267" i="1"/>
  <c r="S270" i="1"/>
  <c r="S276" i="1"/>
  <c r="S278" i="1"/>
  <c r="S279" i="1"/>
  <c r="S280" i="1"/>
  <c r="S281" i="1"/>
  <c r="G286" i="1"/>
  <c r="S286" i="1"/>
  <c r="P287" i="1"/>
  <c r="S283" i="1"/>
  <c r="S284" i="1"/>
  <c r="S285" i="1"/>
  <c r="S291" i="1"/>
  <c r="W291" i="1"/>
  <c r="G292" i="1"/>
  <c r="S292" i="1"/>
  <c r="AF292" i="1"/>
  <c r="G293" i="1"/>
  <c r="M293" i="1"/>
  <c r="S293" i="1"/>
  <c r="AF293" i="1"/>
  <c r="G294" i="1"/>
  <c r="M294" i="1"/>
  <c r="AF294" i="1"/>
  <c r="G300" i="1"/>
  <c r="AI300" i="1"/>
  <c r="G301" i="1"/>
  <c r="G302" i="1"/>
  <c r="G303" i="1"/>
  <c r="S303" i="1"/>
  <c r="AF303" i="1"/>
  <c r="G304" i="1"/>
  <c r="S304" i="1"/>
  <c r="AF304" i="1"/>
  <c r="G305" i="1"/>
  <c r="M305" i="1"/>
  <c r="P305" i="1"/>
  <c r="S305" i="1"/>
  <c r="AF305" i="1"/>
  <c r="G306" i="1"/>
  <c r="M306" i="1"/>
  <c r="P306" i="1"/>
  <c r="S306" i="1"/>
  <c r="AF306" i="1"/>
  <c r="G307" i="1"/>
  <c r="M307" i="1"/>
  <c r="P307" i="1"/>
  <c r="G308" i="1"/>
  <c r="P308" i="1"/>
  <c r="G309" i="1"/>
  <c r="M309" i="1"/>
  <c r="P309" i="1"/>
  <c r="S311" i="1"/>
  <c r="S312" i="1"/>
  <c r="S313" i="1"/>
  <c r="M314" i="1"/>
  <c r="S314" i="1"/>
  <c r="S315" i="1"/>
  <c r="S316" i="1"/>
  <c r="S319" i="1"/>
  <c r="S320" i="1"/>
  <c r="M322" i="1"/>
  <c r="S322" i="1"/>
  <c r="S323" i="1"/>
  <c r="S325" i="1"/>
  <c r="S326" i="1"/>
  <c r="G327" i="1"/>
  <c r="M327" i="1"/>
  <c r="S327" i="1"/>
  <c r="G328" i="1"/>
  <c r="M328" i="1"/>
  <c r="S328" i="1"/>
  <c r="AF328" i="1"/>
  <c r="G329" i="1"/>
  <c r="M329" i="1"/>
  <c r="AD329" i="1"/>
  <c r="AH329" i="1"/>
  <c r="AI329" i="1"/>
  <c r="G330" i="1"/>
  <c r="P330" i="1"/>
  <c r="AI330" i="1"/>
  <c r="G331" i="1"/>
  <c r="M331" i="1"/>
  <c r="S331" i="1"/>
  <c r="AF331" i="1"/>
  <c r="AN331" i="1"/>
  <c r="G332" i="1"/>
  <c r="M332" i="1"/>
  <c r="S332" i="1"/>
  <c r="AF332" i="1"/>
  <c r="AN332" i="1"/>
  <c r="G333" i="1"/>
  <c r="AF333" i="1"/>
  <c r="AI333" i="1"/>
  <c r="G334" i="1"/>
  <c r="M334" i="1"/>
  <c r="P334" i="1"/>
  <c r="S334" i="1"/>
  <c r="G335" i="1"/>
  <c r="G336" i="1"/>
  <c r="G337" i="1"/>
  <c r="G338" i="1"/>
  <c r="G339" i="1"/>
  <c r="M340" i="1"/>
  <c r="P340" i="1"/>
  <c r="AH341" i="1"/>
  <c r="AH342" i="1"/>
  <c r="I343" i="1"/>
  <c r="S343" i="1"/>
  <c r="S345" i="1"/>
  <c r="S346" i="1"/>
  <c r="S347" i="1"/>
  <c r="S348" i="1"/>
  <c r="S349" i="1"/>
  <c r="S350" i="1"/>
  <c r="S351" i="1"/>
  <c r="S352" i="1"/>
  <c r="S353" i="1"/>
  <c r="S354" i="1"/>
  <c r="S355" i="1"/>
  <c r="G356" i="1"/>
  <c r="G357" i="1"/>
  <c r="M357" i="1"/>
  <c r="S357" i="1"/>
  <c r="G358" i="1"/>
  <c r="P358" i="1"/>
  <c r="G359" i="1"/>
  <c r="P359" i="1"/>
  <c r="G361" i="1"/>
  <c r="M361" i="1"/>
  <c r="S361" i="1"/>
  <c r="G362" i="1"/>
  <c r="M362" i="1"/>
  <c r="S362" i="1"/>
  <c r="G363" i="1"/>
  <c r="S363" i="1"/>
  <c r="G364" i="1"/>
  <c r="S364" i="1"/>
  <c r="G365" i="1"/>
  <c r="G366" i="1"/>
  <c r="I366" i="1"/>
  <c r="M366" i="1"/>
  <c r="S366" i="1"/>
  <c r="AF366" i="1"/>
  <c r="AG366" i="1"/>
  <c r="AH366" i="1"/>
  <c r="AI366" i="1"/>
  <c r="AN366" i="1"/>
  <c r="G367" i="1"/>
  <c r="I367" i="1"/>
  <c r="M367" i="1"/>
  <c r="S367" i="1"/>
  <c r="AF367" i="1"/>
  <c r="AG367" i="1"/>
  <c r="AH367" i="1"/>
  <c r="AI367" i="1"/>
  <c r="AN367" i="1"/>
  <c r="G368" i="1"/>
  <c r="I368" i="1"/>
  <c r="M368" i="1"/>
  <c r="S368" i="1"/>
  <c r="AF368" i="1"/>
  <c r="AG368" i="1"/>
  <c r="AH368" i="1"/>
  <c r="AI368" i="1"/>
  <c r="AN368" i="1"/>
  <c r="G369" i="1"/>
  <c r="I369" i="1"/>
  <c r="M369" i="1"/>
  <c r="S369" i="1"/>
  <c r="AF369" i="1"/>
  <c r="AG369" i="1"/>
  <c r="AH369" i="1"/>
  <c r="AI369" i="1"/>
  <c r="AN369" i="1"/>
  <c r="G370" i="1"/>
  <c r="I370" i="1"/>
  <c r="M370" i="1"/>
  <c r="S370" i="1"/>
  <c r="AF370" i="1"/>
  <c r="AH370" i="1"/>
  <c r="AI370" i="1"/>
  <c r="AT370" i="1"/>
  <c r="G372" i="1"/>
  <c r="S373" i="1"/>
  <c r="V373" i="1"/>
  <c r="S374" i="1"/>
  <c r="V374" i="1"/>
  <c r="G375" i="1"/>
  <c r="I375" i="1"/>
  <c r="M375" i="1"/>
  <c r="S375" i="1"/>
  <c r="AF375" i="1"/>
  <c r="AG375" i="1"/>
  <c r="AH375" i="1"/>
  <c r="AI375" i="1"/>
  <c r="AN375" i="1"/>
  <c r="G376" i="1"/>
  <c r="I376" i="1"/>
  <c r="M376" i="1"/>
  <c r="S376" i="1"/>
  <c r="AF376" i="1"/>
  <c r="AG376" i="1"/>
  <c r="AH376" i="1"/>
  <c r="AI376" i="1"/>
  <c r="AN376" i="1"/>
  <c r="G377" i="1"/>
  <c r="I377" i="1"/>
  <c r="M377" i="1"/>
  <c r="S377" i="1"/>
  <c r="AF377" i="1"/>
  <c r="AG377" i="1"/>
  <c r="AH377" i="1"/>
  <c r="AI377" i="1"/>
  <c r="AN377" i="1"/>
  <c r="G378" i="1"/>
  <c r="I378" i="1"/>
  <c r="M378" i="1"/>
  <c r="S378" i="1"/>
  <c r="AF378" i="1"/>
  <c r="AG378" i="1"/>
  <c r="AH378" i="1"/>
  <c r="AI378" i="1"/>
  <c r="AN378" i="1"/>
  <c r="G379" i="1"/>
  <c r="I379" i="1"/>
  <c r="M379" i="1"/>
  <c r="AF379" i="1"/>
  <c r="AG379" i="1"/>
  <c r="AH379" i="1"/>
  <c r="AI379" i="1"/>
  <c r="AT379" i="1"/>
  <c r="G380" i="1"/>
  <c r="I380" i="1"/>
  <c r="M380" i="1"/>
  <c r="S380" i="1"/>
  <c r="AF380" i="1"/>
  <c r="AG380" i="1"/>
  <c r="AH380" i="1"/>
  <c r="AI380" i="1"/>
  <c r="AN380" i="1"/>
  <c r="G381" i="1"/>
  <c r="I381" i="1"/>
  <c r="M381" i="1"/>
  <c r="S381" i="1"/>
  <c r="AF381" i="1"/>
  <c r="AG381" i="1"/>
  <c r="AH381" i="1"/>
  <c r="AI381" i="1"/>
  <c r="AN381" i="1"/>
  <c r="G382" i="1"/>
  <c r="I382" i="1"/>
  <c r="M382" i="1"/>
  <c r="S382" i="1"/>
  <c r="AF382" i="1"/>
  <c r="AG382" i="1"/>
  <c r="AH382" i="1"/>
  <c r="AI382" i="1"/>
  <c r="AN382" i="1"/>
  <c r="G383" i="1"/>
  <c r="I383" i="1"/>
  <c r="M383" i="1"/>
  <c r="S383" i="1"/>
  <c r="AF383" i="1"/>
  <c r="AG383" i="1"/>
  <c r="AH383" i="1"/>
  <c r="AI383" i="1"/>
  <c r="AT383" i="1"/>
  <c r="G384" i="1"/>
  <c r="M384" i="1"/>
  <c r="P384" i="1"/>
  <c r="AI384" i="1"/>
  <c r="G386" i="1"/>
  <c r="I386" i="1"/>
  <c r="M386" i="1"/>
  <c r="S386" i="1"/>
  <c r="AH386" i="1"/>
  <c r="AI386" i="1"/>
  <c r="G387" i="1"/>
  <c r="S387" i="1"/>
  <c r="AF387" i="1"/>
  <c r="AG387" i="1"/>
  <c r="AH387" i="1"/>
  <c r="AN387" i="1"/>
  <c r="G388" i="1"/>
  <c r="I388" i="1"/>
  <c r="S388" i="1"/>
  <c r="AF388" i="1"/>
  <c r="AG388" i="1"/>
  <c r="AH388" i="1"/>
  <c r="AN388" i="1"/>
  <c r="G389" i="1"/>
  <c r="I389" i="1"/>
  <c r="S389" i="1"/>
  <c r="AF389" i="1"/>
  <c r="AG389" i="1"/>
  <c r="AH389" i="1"/>
  <c r="AN389" i="1"/>
  <c r="G390" i="1"/>
  <c r="I390" i="1"/>
  <c r="S390" i="1"/>
  <c r="AF390" i="1"/>
  <c r="AG390" i="1"/>
  <c r="AH390" i="1"/>
  <c r="AN390" i="1"/>
  <c r="G391" i="1"/>
  <c r="I391" i="1"/>
  <c r="M391" i="1"/>
  <c r="S391" i="1"/>
  <c r="AF391" i="1"/>
  <c r="AG391" i="1"/>
  <c r="AI391" i="1"/>
  <c r="G392" i="1"/>
  <c r="I392" i="1"/>
  <c r="AF392" i="1"/>
  <c r="AG392" i="1"/>
  <c r="AH392" i="1"/>
  <c r="AI392" i="1"/>
  <c r="AN392" i="1"/>
  <c r="G393" i="1"/>
  <c r="AF393" i="1"/>
  <c r="AN393" i="1"/>
  <c r="G394" i="1"/>
  <c r="I394" i="1"/>
  <c r="M394" i="1"/>
  <c r="S394" i="1"/>
  <c r="AF394" i="1"/>
  <c r="AG394" i="1"/>
  <c r="AH394" i="1"/>
  <c r="AI394" i="1"/>
  <c r="AN394" i="1"/>
  <c r="G395" i="1"/>
  <c r="I395" i="1"/>
  <c r="M395" i="1"/>
  <c r="S395" i="1"/>
  <c r="AF395" i="1"/>
  <c r="AG395" i="1"/>
  <c r="AH395" i="1"/>
  <c r="AI395" i="1"/>
  <c r="AN395" i="1"/>
  <c r="G396" i="1"/>
  <c r="I396" i="1"/>
  <c r="M396" i="1"/>
  <c r="S396" i="1"/>
  <c r="AF396" i="1"/>
  <c r="AG396" i="1"/>
  <c r="AH396" i="1"/>
  <c r="AI396" i="1"/>
  <c r="AN396" i="1"/>
  <c r="G397" i="1"/>
  <c r="I397" i="1"/>
  <c r="M397" i="1"/>
  <c r="S397" i="1"/>
  <c r="AF397" i="1"/>
  <c r="AG397" i="1"/>
  <c r="AH397" i="1"/>
  <c r="AI397" i="1"/>
  <c r="AT397" i="1"/>
  <c r="G398" i="1"/>
  <c r="I398" i="1"/>
  <c r="M398" i="1"/>
  <c r="S398" i="1"/>
  <c r="AF398" i="1"/>
  <c r="AG398" i="1"/>
  <c r="AH398" i="1"/>
  <c r="AI398" i="1"/>
  <c r="AT398" i="1"/>
  <c r="G399" i="1"/>
  <c r="M399" i="1"/>
  <c r="P399" i="1"/>
  <c r="AI399" i="1"/>
  <c r="G400" i="1"/>
  <c r="I400" i="1"/>
  <c r="S400" i="1"/>
  <c r="AF400" i="1"/>
  <c r="AG400" i="1"/>
  <c r="AH400" i="1"/>
  <c r="AT400" i="1"/>
  <c r="G401" i="1"/>
  <c r="I401" i="1"/>
  <c r="AF401" i="1"/>
  <c r="AG401" i="1"/>
  <c r="AH401" i="1"/>
  <c r="AT401" i="1"/>
  <c r="G402" i="1"/>
  <c r="I402" i="1"/>
  <c r="AF402" i="1"/>
  <c r="AG402" i="1"/>
  <c r="AH402" i="1"/>
  <c r="AT402" i="1"/>
  <c r="G403" i="1"/>
  <c r="I403" i="1"/>
  <c r="AF403" i="1"/>
  <c r="AG403" i="1"/>
  <c r="AH403" i="1"/>
  <c r="AT403" i="1"/>
  <c r="G404" i="1"/>
  <c r="I404" i="1"/>
  <c r="S404" i="1"/>
  <c r="G405" i="1"/>
  <c r="I405" i="1"/>
  <c r="M405" i="1"/>
  <c r="AF405" i="1"/>
  <c r="AG405" i="1"/>
  <c r="AH405" i="1"/>
  <c r="G406" i="1"/>
  <c r="I406" i="1"/>
  <c r="M406" i="1"/>
  <c r="AF406" i="1"/>
  <c r="AG406" i="1"/>
  <c r="AH406" i="1"/>
  <c r="AT406" i="1"/>
  <c r="G407" i="1"/>
  <c r="I407" i="1"/>
  <c r="M407" i="1"/>
  <c r="S407" i="1"/>
  <c r="AF407" i="1"/>
  <c r="AH407" i="1"/>
  <c r="AI407" i="1"/>
  <c r="AT407" i="1"/>
  <c r="G408" i="1"/>
  <c r="M408" i="1"/>
  <c r="P408" i="1"/>
  <c r="AI408" i="1"/>
  <c r="G410" i="1"/>
  <c r="I410" i="1"/>
  <c r="M410" i="1"/>
  <c r="AF410" i="1"/>
  <c r="AG410" i="1"/>
  <c r="AH410" i="1"/>
  <c r="AI410" i="1"/>
  <c r="G411" i="1"/>
  <c r="I411" i="1"/>
  <c r="M411" i="1"/>
  <c r="S411" i="1"/>
  <c r="AF411" i="1"/>
  <c r="AG411" i="1"/>
  <c r="AH411" i="1"/>
  <c r="AI411" i="1"/>
  <c r="AN411" i="1"/>
  <c r="G412" i="1"/>
  <c r="I412" i="1"/>
  <c r="M412" i="1"/>
  <c r="S412" i="1"/>
  <c r="AF412" i="1"/>
  <c r="AG412" i="1"/>
  <c r="AH412" i="1"/>
  <c r="AI412" i="1"/>
  <c r="AN412" i="1"/>
  <c r="G413" i="1"/>
  <c r="I413" i="1"/>
  <c r="M413" i="1"/>
  <c r="S413" i="1"/>
  <c r="AF413" i="1"/>
  <c r="AG413" i="1"/>
  <c r="AH413" i="1"/>
  <c r="AI413" i="1"/>
  <c r="AN413" i="1"/>
  <c r="G414" i="1"/>
  <c r="I414" i="1"/>
  <c r="M414" i="1"/>
  <c r="S414" i="1"/>
  <c r="AF414" i="1"/>
  <c r="AG414" i="1"/>
  <c r="AH414" i="1"/>
  <c r="AT414" i="1"/>
  <c r="G415" i="1"/>
  <c r="I415" i="1"/>
  <c r="S415" i="1"/>
  <c r="AF415" i="1"/>
  <c r="AG415" i="1"/>
  <c r="AH415" i="1"/>
  <c r="AI415" i="1"/>
  <c r="AN415" i="1"/>
  <c r="G416" i="1"/>
  <c r="I416" i="1"/>
  <c r="S416" i="1"/>
  <c r="AF416" i="1"/>
  <c r="AG416" i="1"/>
  <c r="AH416" i="1"/>
  <c r="AI416" i="1"/>
  <c r="AN416" i="1"/>
  <c r="G417" i="1"/>
  <c r="I417" i="1"/>
  <c r="S417" i="1"/>
  <c r="AF417" i="1"/>
  <c r="AG417" i="1"/>
  <c r="AH417" i="1"/>
  <c r="AI417" i="1"/>
  <c r="AN417" i="1"/>
  <c r="AF418" i="1"/>
  <c r="AG418" i="1"/>
  <c r="AH418" i="1"/>
  <c r="AN418" i="1"/>
  <c r="G419" i="1"/>
  <c r="I419" i="1"/>
  <c r="M419" i="1"/>
  <c r="S419" i="1"/>
  <c r="AF419" i="1"/>
  <c r="AG419" i="1"/>
  <c r="AH419" i="1"/>
  <c r="AI419" i="1"/>
  <c r="AK419" i="1"/>
  <c r="AT419" i="1"/>
  <c r="G420" i="1"/>
  <c r="P420" i="1"/>
  <c r="AI420" i="1"/>
  <c r="AF421" i="1"/>
  <c r="AG421" i="1"/>
  <c r="AH421" i="1"/>
  <c r="AN421" i="1"/>
  <c r="M422" i="1"/>
  <c r="AH422" i="1"/>
  <c r="AT422" i="1"/>
  <c r="G423" i="1"/>
  <c r="I423" i="1"/>
  <c r="M423" i="1"/>
  <c r="S423" i="1"/>
  <c r="AF423" i="1"/>
  <c r="AG423" i="1"/>
  <c r="AH423" i="1"/>
  <c r="AN423" i="1"/>
  <c r="G424" i="1"/>
  <c r="I424" i="1"/>
  <c r="M424" i="1"/>
  <c r="S424" i="1"/>
  <c r="AF424" i="1"/>
  <c r="AG424" i="1"/>
  <c r="AH424" i="1"/>
  <c r="AN424" i="1"/>
  <c r="G425" i="1"/>
  <c r="I425" i="1"/>
  <c r="M425" i="1"/>
  <c r="S425" i="1"/>
  <c r="AF425" i="1"/>
  <c r="AG425" i="1"/>
  <c r="AH425" i="1"/>
  <c r="AN425" i="1"/>
  <c r="G427" i="1"/>
  <c r="I427" i="1"/>
  <c r="S427" i="1"/>
  <c r="AG427" i="1"/>
  <c r="AH427" i="1"/>
  <c r="G428" i="1"/>
  <c r="I428" i="1"/>
  <c r="S428" i="1"/>
  <c r="AF428" i="1"/>
  <c r="AG428" i="1"/>
  <c r="AH428" i="1"/>
  <c r="G429" i="1"/>
  <c r="I429" i="1"/>
  <c r="S429" i="1"/>
  <c r="AF429" i="1"/>
  <c r="AG429" i="1"/>
  <c r="AH429" i="1"/>
  <c r="G430" i="1"/>
  <c r="I430" i="1"/>
  <c r="M430" i="1"/>
  <c r="S430" i="1"/>
  <c r="AF430" i="1"/>
  <c r="AH430" i="1"/>
  <c r="AI430" i="1"/>
  <c r="AN430" i="1"/>
  <c r="G431" i="1"/>
  <c r="I431" i="1"/>
  <c r="M431" i="1"/>
  <c r="S431" i="1"/>
  <c r="AF431" i="1"/>
  <c r="AH431" i="1"/>
  <c r="AI431" i="1"/>
  <c r="G432" i="1"/>
  <c r="I432" i="1"/>
  <c r="M432" i="1"/>
  <c r="S432" i="1"/>
  <c r="AF432" i="1"/>
  <c r="AH432" i="1"/>
  <c r="AI432" i="1"/>
  <c r="G433" i="1"/>
  <c r="I433" i="1"/>
  <c r="M433" i="1"/>
  <c r="S433" i="1"/>
  <c r="AF433" i="1"/>
  <c r="AH433" i="1"/>
  <c r="AI433" i="1"/>
  <c r="G435" i="1"/>
  <c r="I435" i="1"/>
  <c r="M435" i="1"/>
  <c r="S435" i="1"/>
  <c r="AF435" i="1"/>
  <c r="AH435" i="1"/>
  <c r="AI435" i="1"/>
  <c r="G436" i="1"/>
  <c r="I436" i="1"/>
  <c r="M436" i="1"/>
  <c r="S436" i="1"/>
  <c r="AF436" i="1"/>
  <c r="AH436" i="1"/>
  <c r="AI436" i="1"/>
  <c r="G437" i="1"/>
  <c r="I437" i="1"/>
  <c r="M437" i="1"/>
  <c r="S437" i="1"/>
  <c r="AF437" i="1"/>
  <c r="AH437" i="1"/>
  <c r="AI437" i="1"/>
  <c r="G438" i="1"/>
  <c r="I438" i="1"/>
  <c r="M438" i="1"/>
  <c r="S438" i="1"/>
  <c r="AF438" i="1"/>
  <c r="AH438" i="1"/>
  <c r="AI438" i="1"/>
  <c r="G439" i="1"/>
  <c r="I439" i="1"/>
  <c r="M439" i="1"/>
  <c r="S439" i="1"/>
  <c r="AF439" i="1"/>
  <c r="AH439" i="1"/>
  <c r="AI439" i="1"/>
  <c r="G440" i="1"/>
  <c r="I440" i="1"/>
  <c r="M440" i="1"/>
  <c r="S440" i="1"/>
  <c r="AF440" i="1"/>
  <c r="AH440" i="1"/>
  <c r="AI440" i="1"/>
  <c r="G441" i="1"/>
  <c r="I441" i="1"/>
  <c r="M441" i="1"/>
  <c r="S441" i="1"/>
  <c r="AF441" i="1"/>
  <c r="AH441" i="1"/>
  <c r="AI441" i="1"/>
  <c r="G442" i="1"/>
  <c r="I442" i="1"/>
  <c r="M442" i="1"/>
  <c r="S442" i="1"/>
  <c r="AF442" i="1"/>
  <c r="AH442" i="1"/>
  <c r="AI442" i="1"/>
  <c r="G443" i="1"/>
  <c r="I443" i="1"/>
  <c r="P443" i="1"/>
  <c r="S443" i="1"/>
  <c r="V443" i="1"/>
  <c r="AI443" i="1"/>
  <c r="AT443" i="1"/>
  <c r="G444" i="1"/>
  <c r="I444" i="1"/>
  <c r="P444" i="1"/>
  <c r="S444" i="1"/>
  <c r="V444" i="1"/>
  <c r="AI444" i="1"/>
  <c r="AT444" i="1"/>
  <c r="G445" i="1"/>
  <c r="I445" i="1"/>
  <c r="P445" i="1"/>
  <c r="S445" i="1"/>
  <c r="V445" i="1"/>
  <c r="AI445" i="1"/>
  <c r="G446" i="1"/>
  <c r="M446" i="1"/>
  <c r="O446" i="1"/>
  <c r="P446" i="1"/>
  <c r="AF446" i="1"/>
  <c r="AG446" i="1"/>
  <c r="AN446" i="1"/>
  <c r="G447" i="1"/>
  <c r="M447" i="1"/>
  <c r="O447" i="1"/>
  <c r="P447" i="1"/>
  <c r="AG447" i="1"/>
  <c r="AH447" i="1"/>
  <c r="G448" i="1"/>
  <c r="J448" i="1"/>
  <c r="M448" i="1"/>
  <c r="G449" i="1"/>
  <c r="G452" i="1"/>
  <c r="J452" i="1"/>
  <c r="M452" i="1"/>
  <c r="G454" i="1"/>
  <c r="P454" i="1"/>
  <c r="G455" i="1"/>
  <c r="G456" i="1"/>
  <c r="S456" i="1"/>
  <c r="G457" i="1"/>
  <c r="I457" i="1"/>
  <c r="S459" i="1"/>
  <c r="S460" i="1"/>
  <c r="M461" i="1"/>
  <c r="G464" i="1"/>
  <c r="M464" i="1"/>
  <c r="S464" i="1"/>
  <c r="S466" i="1"/>
  <c r="G467" i="1"/>
  <c r="I467" i="1"/>
  <c r="M467" i="1"/>
  <c r="G468" i="1"/>
  <c r="S468" i="1"/>
  <c r="G470" i="1"/>
  <c r="M470" i="1"/>
  <c r="S470" i="1"/>
  <c r="G471" i="1"/>
  <c r="M471" i="1"/>
  <c r="G472" i="1"/>
  <c r="G473" i="1"/>
  <c r="M473" i="1"/>
  <c r="G474" i="1"/>
  <c r="S474" i="1"/>
  <c r="S475" i="1"/>
  <c r="G476" i="1"/>
  <c r="S476" i="1"/>
  <c r="G477" i="1"/>
  <c r="G478" i="1"/>
  <c r="S478" i="1"/>
  <c r="G482" i="1"/>
  <c r="M482" i="1"/>
  <c r="S482" i="1"/>
  <c r="G483" i="1"/>
  <c r="AF483" i="1"/>
  <c r="G485" i="1"/>
  <c r="M485" i="1"/>
  <c r="AF485" i="1"/>
  <c r="AH485" i="1"/>
  <c r="G486" i="1"/>
  <c r="I486" i="1"/>
  <c r="M486" i="1"/>
  <c r="AH486" i="1"/>
  <c r="AI486" i="1"/>
  <c r="G487" i="1"/>
  <c r="I487" i="1"/>
  <c r="M487" i="1"/>
  <c r="AH487" i="1"/>
  <c r="AI487" i="1"/>
  <c r="G488" i="1"/>
  <c r="I488" i="1"/>
  <c r="M488" i="1"/>
  <c r="AH488" i="1"/>
  <c r="AI488" i="1"/>
  <c r="G490" i="1"/>
  <c r="AF492" i="1"/>
  <c r="G493" i="1"/>
  <c r="I493" i="1"/>
  <c r="M493" i="1"/>
  <c r="G495" i="1"/>
  <c r="I495" i="1"/>
  <c r="M495" i="1"/>
  <c r="AH495" i="1"/>
  <c r="AI495" i="1"/>
  <c r="G496" i="1"/>
  <c r="I496" i="1"/>
  <c r="M496" i="1"/>
  <c r="AH496" i="1"/>
  <c r="AI496" i="1"/>
  <c r="G497" i="1"/>
  <c r="I497" i="1"/>
  <c r="M497" i="1"/>
  <c r="G498" i="1"/>
  <c r="AF498" i="1"/>
  <c r="G499" i="1"/>
  <c r="I499" i="1"/>
  <c r="M499" i="1"/>
  <c r="AH499" i="1"/>
  <c r="G500" i="1"/>
  <c r="I500" i="1"/>
  <c r="M500" i="1"/>
  <c r="AH500" i="1"/>
  <c r="G501" i="1"/>
  <c r="I501" i="1"/>
  <c r="G502" i="1"/>
  <c r="I502" i="1"/>
  <c r="M502" i="1"/>
  <c r="G504" i="1"/>
  <c r="AF504" i="1"/>
  <c r="G507" i="1"/>
  <c r="M507" i="1"/>
  <c r="AF507" i="1"/>
  <c r="G508" i="1"/>
  <c r="M508" i="1"/>
  <c r="AF508" i="1"/>
  <c r="G509" i="1"/>
  <c r="M509" i="1"/>
  <c r="G510" i="1"/>
  <c r="M510" i="1"/>
  <c r="G511" i="1"/>
  <c r="M511" i="1"/>
  <c r="G513" i="1"/>
  <c r="M513" i="1"/>
  <c r="AF513" i="1"/>
  <c r="G514" i="1"/>
  <c r="I514" i="1"/>
  <c r="AH514" i="1"/>
  <c r="AI514" i="1"/>
  <c r="G515" i="1"/>
  <c r="I515" i="1"/>
  <c r="AH515" i="1"/>
  <c r="AI515" i="1"/>
  <c r="G517" i="1"/>
  <c r="M517" i="1"/>
  <c r="AD517" i="1"/>
  <c r="AF517" i="1"/>
  <c r="AP517" i="1"/>
  <c r="G519" i="1"/>
  <c r="M519" i="1"/>
  <c r="AF519" i="1"/>
  <c r="AG519" i="1"/>
  <c r="AI519" i="1"/>
  <c r="AP519" i="1"/>
  <c r="G520" i="1"/>
  <c r="M520" i="1"/>
  <c r="AD520" i="1"/>
  <c r="AF520" i="1"/>
  <c r="AG520" i="1"/>
  <c r="AI520" i="1"/>
  <c r="AP520" i="1"/>
  <c r="G521" i="1"/>
  <c r="M521" i="1"/>
  <c r="AD521" i="1"/>
  <c r="AF521" i="1"/>
  <c r="AG521" i="1"/>
  <c r="AH521" i="1"/>
  <c r="AI521" i="1"/>
  <c r="AP521" i="1"/>
  <c r="G522" i="1"/>
  <c r="AF522" i="1"/>
  <c r="AG522" i="1"/>
  <c r="AP522" i="1"/>
  <c r="G524" i="1"/>
  <c r="M524" i="1"/>
  <c r="AD524" i="1"/>
  <c r="AF524" i="1"/>
  <c r="AG524" i="1"/>
  <c r="AI524" i="1"/>
  <c r="AP524" i="1"/>
  <c r="G525" i="1"/>
  <c r="M525" i="1"/>
  <c r="AD525" i="1"/>
  <c r="AF525" i="1"/>
  <c r="AG525" i="1"/>
  <c r="AI525" i="1"/>
  <c r="AP525" i="1"/>
  <c r="G526" i="1"/>
  <c r="M526" i="1"/>
  <c r="AD526" i="1"/>
  <c r="AF526" i="1"/>
  <c r="AG526" i="1"/>
  <c r="AH526" i="1"/>
  <c r="AI526" i="1"/>
  <c r="AP526" i="1"/>
  <c r="G527" i="1"/>
  <c r="M527" i="1"/>
  <c r="G529" i="1"/>
  <c r="AD529" i="1"/>
  <c r="AI529" i="1"/>
  <c r="G530" i="1"/>
  <c r="M530" i="1"/>
  <c r="AF530" i="1"/>
  <c r="AG530" i="1"/>
  <c r="AH530" i="1"/>
  <c r="AP530" i="1"/>
  <c r="G531" i="1"/>
  <c r="M531" i="1"/>
  <c r="AD531" i="1"/>
  <c r="AF531" i="1"/>
  <c r="AG531" i="1"/>
  <c r="AH531" i="1"/>
  <c r="AP531" i="1"/>
  <c r="G532" i="1"/>
  <c r="G533" i="1"/>
  <c r="M533" i="1"/>
  <c r="AH533" i="1"/>
  <c r="AI533" i="1"/>
  <c r="AP533" i="1"/>
  <c r="G535" i="1"/>
  <c r="I535" i="1"/>
  <c r="M535" i="1"/>
  <c r="G537" i="1"/>
  <c r="M537" i="1"/>
  <c r="AH537" i="1"/>
  <c r="AI537" i="1"/>
  <c r="G538" i="1"/>
  <c r="I538" i="1"/>
  <c r="AD538" i="1"/>
  <c r="G539" i="1"/>
  <c r="M539" i="1"/>
  <c r="S539" i="1"/>
  <c r="AF539" i="1"/>
  <c r="AG539" i="1"/>
  <c r="AI539" i="1"/>
  <c r="AP539" i="1"/>
  <c r="G540" i="1"/>
  <c r="M540" i="1"/>
  <c r="S540" i="1"/>
  <c r="AF540" i="1"/>
  <c r="AG540" i="1"/>
  <c r="AI540" i="1"/>
  <c r="AP540" i="1"/>
  <c r="G541" i="1"/>
  <c r="M541" i="1"/>
  <c r="AF541" i="1"/>
  <c r="AG541" i="1"/>
  <c r="AI541" i="1"/>
  <c r="G542" i="1"/>
  <c r="M542" i="1"/>
  <c r="AD542" i="1"/>
  <c r="AF542" i="1"/>
  <c r="AG542" i="1"/>
  <c r="AI542" i="1"/>
  <c r="AP542" i="1"/>
  <c r="G544" i="1"/>
  <c r="AD544" i="1"/>
  <c r="AI544" i="1"/>
  <c r="G545" i="1"/>
  <c r="AI545" i="1"/>
  <c r="G546" i="1"/>
  <c r="AI546" i="1"/>
  <c r="G548" i="1"/>
  <c r="G549" i="1"/>
  <c r="G550" i="1"/>
  <c r="M550" i="1"/>
  <c r="G551" i="1"/>
  <c r="G552" i="1"/>
  <c r="G553" i="1"/>
  <c r="M553" i="1"/>
  <c r="G554" i="1"/>
  <c r="S554" i="1"/>
  <c r="AF554" i="1"/>
  <c r="G555" i="1"/>
  <c r="S555" i="1"/>
  <c r="AF555" i="1"/>
  <c r="G556" i="1"/>
  <c r="M556" i="1"/>
  <c r="G557" i="1"/>
  <c r="G558" i="1"/>
  <c r="AF558" i="1"/>
  <c r="G559" i="1"/>
  <c r="M559" i="1"/>
  <c r="AF559" i="1"/>
  <c r="AI559" i="1"/>
  <c r="G560" i="1"/>
  <c r="M560" i="1"/>
  <c r="G564" i="1"/>
  <c r="M564" i="1"/>
  <c r="G565" i="1"/>
  <c r="M565" i="1"/>
  <c r="G569" i="1"/>
  <c r="G570" i="1"/>
  <c r="G571" i="1"/>
  <c r="G575" i="1"/>
  <c r="M575" i="1"/>
  <c r="M579" i="1"/>
  <c r="G584" i="1"/>
  <c r="M584" i="1"/>
  <c r="G585" i="1"/>
  <c r="M585" i="1"/>
  <c r="S585" i="1"/>
  <c r="G589" i="1"/>
  <c r="I589" i="1"/>
  <c r="G590" i="1"/>
  <c r="I590" i="1"/>
  <c r="M590" i="1"/>
  <c r="G592" i="1"/>
  <c r="I592" i="1"/>
  <c r="G593" i="1"/>
  <c r="M593" i="1"/>
  <c r="S593" i="1"/>
  <c r="AF593" i="1"/>
  <c r="G599" i="1"/>
  <c r="I599" i="1"/>
  <c r="G600" i="1"/>
  <c r="M600" i="1"/>
  <c r="S600" i="1"/>
  <c r="AF600" i="1"/>
  <c r="G601" i="1"/>
  <c r="M601" i="1"/>
  <c r="S601" i="1"/>
  <c r="AF601" i="1"/>
  <c r="G602" i="1"/>
  <c r="M602" i="1"/>
  <c r="S602" i="1"/>
  <c r="AF602" i="1"/>
  <c r="G605" i="1"/>
  <c r="M605" i="1"/>
  <c r="G606" i="1"/>
  <c r="G607" i="1"/>
  <c r="M607" i="1"/>
  <c r="G609" i="1"/>
  <c r="M609" i="1"/>
  <c r="G615" i="1"/>
  <c r="I615" i="1"/>
  <c r="M615" i="1"/>
  <c r="AI615" i="1"/>
  <c r="G616" i="1"/>
  <c r="I616" i="1"/>
  <c r="M616" i="1"/>
  <c r="AI616" i="1"/>
  <c r="I617" i="1"/>
  <c r="S617" i="1"/>
  <c r="I618" i="1"/>
  <c r="S618" i="1"/>
  <c r="I619" i="1"/>
  <c r="S619" i="1"/>
  <c r="S620" i="1"/>
  <c r="S621" i="1"/>
  <c r="AF621" i="1"/>
  <c r="AN621" i="1"/>
  <c r="G622" i="1"/>
  <c r="I622" i="1"/>
  <c r="M622" i="1"/>
  <c r="N622" i="1"/>
  <c r="P622" i="1"/>
  <c r="S622" i="1"/>
  <c r="V622" i="1"/>
  <c r="AE622" i="1"/>
  <c r="AF622" i="1"/>
  <c r="AG622" i="1"/>
  <c r="AH622" i="1"/>
  <c r="AI622" i="1"/>
  <c r="AJ622" i="1"/>
  <c r="AP622" i="1"/>
  <c r="G623" i="1"/>
  <c r="I623" i="1"/>
  <c r="M623" i="1"/>
  <c r="N623" i="1"/>
  <c r="P623" i="1"/>
  <c r="S623" i="1"/>
  <c r="V623" i="1"/>
  <c r="AE623" i="1"/>
  <c r="AF623" i="1"/>
  <c r="AG623" i="1"/>
  <c r="AH623" i="1"/>
  <c r="AI623" i="1"/>
  <c r="AJ623" i="1"/>
  <c r="AP623" i="1"/>
  <c r="G624" i="1"/>
  <c r="I624" i="1"/>
  <c r="M624" i="1"/>
  <c r="N624" i="1"/>
  <c r="P624" i="1"/>
  <c r="S624" i="1"/>
  <c r="V624" i="1"/>
  <c r="AF624" i="1"/>
  <c r="AG624" i="1"/>
  <c r="AH624" i="1"/>
  <c r="AI624" i="1"/>
  <c r="AJ624" i="1"/>
  <c r="AN624" i="1"/>
  <c r="AP624" i="1"/>
  <c r="G625" i="1"/>
  <c r="I625" i="1"/>
  <c r="M625" i="1"/>
  <c r="N625" i="1"/>
  <c r="P625" i="1"/>
  <c r="S625" i="1"/>
  <c r="V625" i="1"/>
  <c r="AE625" i="1"/>
  <c r="AF625" i="1"/>
  <c r="AG625" i="1"/>
  <c r="AH625" i="1"/>
  <c r="AI625" i="1"/>
  <c r="AJ625" i="1"/>
  <c r="AN625" i="1"/>
  <c r="AP625" i="1"/>
  <c r="G626" i="1"/>
  <c r="I626" i="1"/>
  <c r="M626" i="1"/>
  <c r="N626" i="1"/>
  <c r="P626" i="1"/>
  <c r="S626" i="1"/>
  <c r="V626" i="1"/>
  <c r="AF626" i="1"/>
  <c r="AG626" i="1"/>
  <c r="AH626" i="1"/>
  <c r="AI626" i="1"/>
  <c r="AJ626" i="1"/>
  <c r="AN626" i="1"/>
  <c r="AP626" i="1"/>
  <c r="G627" i="1"/>
  <c r="I627" i="1"/>
  <c r="M627" i="1"/>
  <c r="N627" i="1"/>
  <c r="P627" i="1"/>
  <c r="S627" i="1"/>
  <c r="V627" i="1"/>
  <c r="AE627" i="1"/>
  <c r="AF627" i="1"/>
  <c r="AG627" i="1"/>
  <c r="AH627" i="1"/>
  <c r="AI627" i="1"/>
  <c r="AJ627" i="1"/>
  <c r="AN627" i="1"/>
  <c r="AP627" i="1"/>
  <c r="G628" i="1"/>
  <c r="I628" i="1"/>
  <c r="M628" i="1"/>
  <c r="P628" i="1"/>
  <c r="AF628" i="1"/>
  <c r="AG628" i="1"/>
  <c r="AH628" i="1"/>
  <c r="AP628" i="1"/>
  <c r="AT628" i="1"/>
  <c r="G629" i="1"/>
  <c r="I629" i="1"/>
  <c r="S629" i="1"/>
  <c r="V629" i="1"/>
  <c r="AH629" i="1"/>
  <c r="AN629" i="1"/>
  <c r="AP629" i="1"/>
  <c r="G630" i="1"/>
  <c r="I630" i="1"/>
  <c r="M630" i="1"/>
  <c r="S630" i="1"/>
  <c r="AF630" i="1"/>
  <c r="AG630" i="1"/>
  <c r="AH630" i="1"/>
  <c r="AP630" i="1"/>
  <c r="G631" i="1"/>
  <c r="I631" i="1"/>
  <c r="M631" i="1"/>
  <c r="S631" i="1"/>
  <c r="AF631" i="1"/>
  <c r="AG631" i="1"/>
  <c r="AH631" i="1"/>
  <c r="AI631" i="1"/>
  <c r="AP631" i="1"/>
  <c r="G632" i="1"/>
  <c r="I632" i="1"/>
  <c r="M632" i="1"/>
  <c r="AF632" i="1"/>
  <c r="AG632" i="1"/>
  <c r="AH632" i="1"/>
  <c r="AP632" i="1"/>
  <c r="G633" i="1"/>
  <c r="I633" i="1"/>
  <c r="S633" i="1"/>
  <c r="AF633" i="1"/>
  <c r="AG633" i="1"/>
  <c r="AH633" i="1"/>
  <c r="AN633" i="1"/>
  <c r="AP633" i="1"/>
  <c r="G634" i="1"/>
  <c r="I634" i="1"/>
  <c r="S634" i="1"/>
  <c r="V634" i="1"/>
  <c r="AF634" i="1"/>
  <c r="AG634" i="1"/>
  <c r="AH634" i="1"/>
  <c r="AN634" i="1"/>
  <c r="AP634" i="1"/>
  <c r="G635" i="1"/>
  <c r="I635" i="1"/>
  <c r="M635" i="1"/>
  <c r="N635" i="1"/>
  <c r="P635" i="1"/>
  <c r="S635" i="1"/>
  <c r="V635" i="1"/>
  <c r="AE635" i="1"/>
  <c r="AF635" i="1"/>
  <c r="AG635" i="1"/>
  <c r="AH635" i="1"/>
  <c r="AN635" i="1"/>
  <c r="AP635" i="1"/>
  <c r="G636" i="1"/>
  <c r="I636" i="1"/>
  <c r="M636" i="1"/>
  <c r="P636" i="1"/>
  <c r="AF636" i="1"/>
  <c r="G637" i="1"/>
  <c r="I637" i="1"/>
  <c r="M637" i="1"/>
  <c r="N637" i="1"/>
  <c r="P637" i="1"/>
  <c r="S637" i="1"/>
  <c r="V637" i="1"/>
  <c r="AF637" i="1"/>
  <c r="AG637" i="1"/>
  <c r="AH637" i="1"/>
  <c r="AN637" i="1"/>
  <c r="AP637" i="1"/>
  <c r="G638" i="1"/>
  <c r="I638" i="1"/>
  <c r="M638" i="1"/>
  <c r="N638" i="1"/>
  <c r="P638" i="1"/>
  <c r="S638" i="1"/>
  <c r="V638" i="1"/>
  <c r="AE638" i="1"/>
  <c r="AF638" i="1"/>
  <c r="AG638" i="1"/>
  <c r="AH638" i="1"/>
  <c r="AN638" i="1"/>
  <c r="AP638" i="1"/>
  <c r="G639" i="1"/>
  <c r="I639" i="1"/>
  <c r="M639" i="1"/>
  <c r="P639" i="1"/>
  <c r="AE639" i="1"/>
  <c r="AF639" i="1"/>
  <c r="AG639" i="1"/>
  <c r="AH639" i="1"/>
  <c r="AI639" i="1"/>
  <c r="AP639" i="1"/>
  <c r="AT639" i="1"/>
  <c r="G640" i="1"/>
  <c r="I640" i="1"/>
  <c r="S640" i="1"/>
  <c r="V640" i="1"/>
  <c r="AE640" i="1"/>
  <c r="AF640" i="1"/>
  <c r="AH640" i="1"/>
  <c r="AP640" i="1"/>
  <c r="G641" i="1"/>
  <c r="I641" i="1"/>
  <c r="S641" i="1"/>
  <c r="V641" i="1"/>
  <c r="AF641" i="1"/>
  <c r="AH641" i="1"/>
  <c r="AI641" i="1"/>
  <c r="AJ641" i="1"/>
  <c r="AP641" i="1"/>
  <c r="G642" i="1"/>
  <c r="I642" i="1"/>
  <c r="AE642" i="1"/>
  <c r="AF642" i="1"/>
  <c r="G643" i="1"/>
  <c r="I643" i="1"/>
  <c r="S643" i="1"/>
  <c r="V643" i="1"/>
  <c r="AE643" i="1"/>
  <c r="AF643" i="1"/>
  <c r="AH643" i="1"/>
  <c r="AP643" i="1"/>
  <c r="G644" i="1"/>
  <c r="I644" i="1"/>
  <c r="G645" i="1"/>
  <c r="S645" i="1"/>
  <c r="V645" i="1"/>
  <c r="AF645" i="1"/>
  <c r="AG645" i="1"/>
  <c r="AN645" i="1"/>
  <c r="S646" i="1"/>
  <c r="V646" i="1"/>
  <c r="AE646" i="1"/>
  <c r="AF646" i="1"/>
  <c r="AG646" i="1"/>
  <c r="AH646" i="1"/>
  <c r="AP646" i="1"/>
  <c r="G647" i="1"/>
  <c r="I647" i="1"/>
  <c r="M647" i="1"/>
  <c r="P647" i="1"/>
  <c r="AF647" i="1"/>
  <c r="AG647" i="1"/>
  <c r="AP647" i="1"/>
  <c r="G648" i="1"/>
  <c r="G649" i="1"/>
  <c r="S649" i="1"/>
  <c r="V649" i="1"/>
  <c r="AF649" i="1"/>
  <c r="AG649" i="1"/>
  <c r="AH649" i="1"/>
  <c r="AI649" i="1"/>
  <c r="AJ649" i="1"/>
  <c r="AN649" i="1"/>
  <c r="AP649" i="1"/>
  <c r="G650" i="1"/>
  <c r="M650" i="1"/>
  <c r="N650" i="1"/>
  <c r="P650" i="1"/>
  <c r="S650" i="1"/>
  <c r="V650" i="1"/>
  <c r="AF650" i="1"/>
  <c r="AG650" i="1"/>
  <c r="AH650" i="1"/>
  <c r="AI650" i="1"/>
  <c r="AP650" i="1"/>
  <c r="G651" i="1"/>
  <c r="M651" i="1"/>
  <c r="N651" i="1"/>
  <c r="P651" i="1"/>
  <c r="S651" i="1"/>
  <c r="V651" i="1"/>
  <c r="AF651" i="1"/>
  <c r="AG651" i="1"/>
  <c r="AH651" i="1"/>
  <c r="AI651" i="1"/>
  <c r="AP651" i="1"/>
  <c r="G652" i="1"/>
  <c r="I652" i="1"/>
  <c r="M652" i="1"/>
  <c r="P652" i="1"/>
  <c r="AF652" i="1"/>
  <c r="AG652" i="1"/>
  <c r="AH652" i="1"/>
  <c r="AI652" i="1"/>
  <c r="AP652" i="1"/>
  <c r="AT652" i="1"/>
  <c r="AE653" i="1"/>
  <c r="AF653" i="1"/>
  <c r="AG653" i="1"/>
  <c r="AH653" i="1"/>
  <c r="AP653" i="1"/>
  <c r="G654" i="1"/>
  <c r="S654" i="1"/>
  <c r="V654" i="1"/>
  <c r="AF654" i="1"/>
  <c r="AG654" i="1"/>
  <c r="AH654" i="1"/>
  <c r="AN654" i="1"/>
  <c r="AP654" i="1"/>
  <c r="G655" i="1"/>
  <c r="S655" i="1"/>
  <c r="V655" i="1"/>
  <c r="AE655" i="1"/>
  <c r="AF655" i="1"/>
  <c r="AG655" i="1"/>
  <c r="AH655" i="1"/>
  <c r="AN655" i="1"/>
  <c r="AP655" i="1"/>
  <c r="G656" i="1"/>
  <c r="AF656" i="1"/>
  <c r="AG656" i="1"/>
  <c r="AN656" i="1"/>
  <c r="AP656" i="1"/>
  <c r="G657" i="1"/>
  <c r="M657" i="1"/>
  <c r="N657" i="1"/>
  <c r="P657" i="1"/>
  <c r="S657" i="1"/>
  <c r="V657" i="1"/>
  <c r="AF657" i="1"/>
  <c r="AG657" i="1"/>
  <c r="AH657" i="1"/>
  <c r="AI657" i="1"/>
  <c r="AN657" i="1"/>
  <c r="AP657" i="1"/>
  <c r="G658" i="1"/>
  <c r="M658" i="1"/>
  <c r="N658" i="1"/>
  <c r="P658" i="1"/>
  <c r="S658" i="1"/>
  <c r="V658" i="1"/>
  <c r="AF658" i="1"/>
  <c r="AG658" i="1"/>
  <c r="AH658" i="1"/>
  <c r="AI658" i="1"/>
  <c r="AN658" i="1"/>
  <c r="AP658" i="1"/>
  <c r="G659" i="1"/>
  <c r="I659" i="1"/>
  <c r="M659" i="1"/>
  <c r="P659" i="1"/>
  <c r="AF659" i="1"/>
  <c r="AG659" i="1"/>
  <c r="AH659" i="1"/>
  <c r="AI659" i="1"/>
  <c r="AP659" i="1"/>
  <c r="AT659" i="1"/>
  <c r="G660" i="1"/>
  <c r="M660" i="1"/>
  <c r="N660" i="1"/>
  <c r="P660" i="1"/>
  <c r="S660" i="1"/>
  <c r="V660" i="1"/>
  <c r="AF660" i="1"/>
  <c r="AG660" i="1"/>
  <c r="AH660" i="1"/>
  <c r="AI660" i="1"/>
  <c r="AP660" i="1"/>
  <c r="M661" i="1"/>
  <c r="P661" i="1"/>
  <c r="AF661" i="1"/>
  <c r="AG661" i="1"/>
  <c r="AH661" i="1"/>
  <c r="AI661" i="1"/>
  <c r="AP661" i="1"/>
  <c r="AT661" i="1"/>
  <c r="G662" i="1"/>
  <c r="G663" i="1"/>
  <c r="M663" i="1"/>
  <c r="G664" i="1"/>
  <c r="G665" i="1"/>
  <c r="G666" i="1"/>
  <c r="M666" i="1"/>
  <c r="G671" i="1"/>
  <c r="M674" i="1"/>
  <c r="S674" i="1"/>
  <c r="AE674" i="1"/>
  <c r="M675" i="1"/>
  <c r="S676" i="1"/>
  <c r="W676" i="1"/>
  <c r="M678" i="1"/>
  <c r="S678" i="1"/>
  <c r="AE678" i="1"/>
  <c r="M680" i="1"/>
  <c r="S681" i="1"/>
  <c r="AE681" i="1"/>
  <c r="S682" i="1"/>
  <c r="AE682" i="1"/>
  <c r="S683" i="1"/>
  <c r="W683" i="1"/>
  <c r="M684" i="1"/>
  <c r="S685" i="1"/>
  <c r="AE685" i="1"/>
  <c r="S686" i="1"/>
  <c r="W686" i="1"/>
  <c r="G689" i="1"/>
  <c r="S689" i="1"/>
  <c r="G690" i="1"/>
  <c r="S690" i="1"/>
  <c r="G691" i="1"/>
  <c r="S691" i="1"/>
  <c r="G692" i="1"/>
  <c r="S692" i="1"/>
  <c r="G693" i="1"/>
  <c r="S693" i="1"/>
  <c r="G694" i="1"/>
  <c r="S694" i="1"/>
  <c r="G695" i="1"/>
  <c r="S695" i="1"/>
  <c r="G696" i="1"/>
  <c r="S696" i="1"/>
  <c r="G697" i="1"/>
  <c r="S697" i="1"/>
  <c r="G698" i="1"/>
  <c r="S701" i="1"/>
  <c r="S704" i="1"/>
  <c r="G705" i="1"/>
  <c r="S705" i="1"/>
  <c r="AI705" i="1"/>
  <c r="S706" i="1"/>
  <c r="L707" i="1"/>
  <c r="S707" i="1"/>
  <c r="S708" i="1"/>
  <c r="G709" i="1"/>
  <c r="S709" i="1"/>
  <c r="G710" i="1"/>
  <c r="S710" i="1"/>
  <c r="G711" i="1"/>
  <c r="AI711" i="1"/>
  <c r="G712" i="1"/>
  <c r="AI712" i="1"/>
  <c r="G713" i="1"/>
  <c r="AI713" i="1"/>
  <c r="S716" i="1"/>
  <c r="S719" i="1"/>
  <c r="S720" i="1"/>
  <c r="S721" i="1"/>
  <c r="S722" i="1"/>
  <c r="S723" i="1"/>
  <c r="G724" i="1"/>
  <c r="M725" i="1"/>
  <c r="P725" i="1"/>
  <c r="G726" i="1"/>
  <c r="S727" i="1"/>
  <c r="G728" i="1"/>
  <c r="M728" i="1"/>
  <c r="AD728" i="1"/>
  <c r="G729" i="1"/>
  <c r="M729" i="1"/>
  <c r="G730" i="1"/>
  <c r="G731" i="1"/>
  <c r="I732" i="1"/>
  <c r="AI732" i="1"/>
  <c r="P733" i="1"/>
  <c r="G734" i="1"/>
  <c r="G735" i="1"/>
  <c r="G736" i="1"/>
  <c r="M736" i="1"/>
  <c r="G737" i="1"/>
  <c r="M737" i="1"/>
  <c r="G739" i="1"/>
  <c r="S739" i="1"/>
  <c r="AD739" i="1"/>
  <c r="G740" i="1"/>
  <c r="M740" i="1"/>
  <c r="P740" i="1"/>
  <c r="I741" i="1"/>
  <c r="AI741" i="1"/>
  <c r="G743" i="1"/>
  <c r="M743" i="1"/>
  <c r="G744" i="1"/>
  <c r="M744" i="1"/>
  <c r="G746" i="1"/>
  <c r="S746" i="1"/>
  <c r="G747" i="1"/>
  <c r="M747" i="1"/>
  <c r="P747" i="1"/>
  <c r="G748" i="1"/>
  <c r="I749" i="1"/>
  <c r="AI749" i="1"/>
  <c r="G751" i="1"/>
  <c r="I751" i="1"/>
  <c r="M751" i="1"/>
  <c r="N751" i="1"/>
  <c r="P751" i="1"/>
  <c r="S751" i="1"/>
  <c r="AF751" i="1"/>
  <c r="AH751" i="1"/>
  <c r="AI751" i="1"/>
  <c r="G752" i="1"/>
  <c r="I752" i="1"/>
  <c r="M752" i="1"/>
  <c r="N752" i="1"/>
  <c r="P752" i="1"/>
  <c r="S752" i="1"/>
  <c r="AF752" i="1"/>
  <c r="AH752" i="1"/>
  <c r="AI752" i="1"/>
  <c r="S754" i="1"/>
  <c r="V754" i="1"/>
  <c r="S755" i="1"/>
  <c r="G756" i="1"/>
  <c r="I756" i="1"/>
  <c r="M756" i="1"/>
  <c r="N756" i="1"/>
  <c r="P756" i="1"/>
  <c r="S756" i="1"/>
  <c r="V756" i="1"/>
  <c r="AF756" i="1"/>
  <c r="AG756" i="1"/>
  <c r="AH756" i="1"/>
  <c r="AI756" i="1"/>
  <c r="AJ756" i="1"/>
  <c r="AP756" i="1"/>
  <c r="G757" i="1"/>
  <c r="I757" i="1"/>
  <c r="M757" i="1"/>
  <c r="N757" i="1"/>
  <c r="P757" i="1"/>
  <c r="S757" i="1"/>
  <c r="V757" i="1"/>
  <c r="AE757" i="1"/>
  <c r="AF757" i="1"/>
  <c r="AG757" i="1"/>
  <c r="AH757" i="1"/>
  <c r="AI757" i="1"/>
  <c r="AJ757" i="1"/>
  <c r="AP757" i="1"/>
  <c r="G758" i="1"/>
  <c r="I758" i="1"/>
  <c r="M758" i="1"/>
  <c r="N758" i="1"/>
  <c r="P758" i="1"/>
  <c r="S758" i="1"/>
  <c r="V758" i="1"/>
  <c r="AE758" i="1"/>
  <c r="AF758" i="1"/>
  <c r="AG758" i="1"/>
  <c r="AH758" i="1"/>
  <c r="AI758" i="1"/>
  <c r="AJ758" i="1"/>
  <c r="AP758" i="1"/>
  <c r="G759" i="1"/>
  <c r="I759" i="1"/>
  <c r="M759" i="1"/>
  <c r="N759" i="1"/>
  <c r="P759" i="1"/>
  <c r="S759" i="1"/>
  <c r="AF759" i="1"/>
  <c r="AH759" i="1"/>
  <c r="AI759" i="1"/>
  <c r="AG760" i="1"/>
  <c r="G762" i="1"/>
  <c r="I762" i="1"/>
  <c r="M762" i="1"/>
  <c r="N762" i="1"/>
  <c r="P762" i="1"/>
  <c r="S762" i="1"/>
  <c r="V762" i="1"/>
  <c r="AF762" i="1"/>
  <c r="AG762" i="1"/>
  <c r="AH762" i="1"/>
  <c r="AI762" i="1"/>
  <c r="AP762" i="1"/>
  <c r="G763" i="1"/>
  <c r="I763" i="1"/>
  <c r="M763" i="1"/>
  <c r="N763" i="1"/>
  <c r="P763" i="1"/>
  <c r="S763" i="1"/>
  <c r="V763" i="1"/>
  <c r="AE763" i="1"/>
  <c r="AF763" i="1"/>
  <c r="AG763" i="1"/>
  <c r="AH763" i="1"/>
  <c r="AI763" i="1"/>
  <c r="AP763" i="1"/>
  <c r="G764" i="1"/>
  <c r="I764" i="1"/>
  <c r="M764" i="1"/>
  <c r="N764" i="1"/>
  <c r="P764" i="1"/>
  <c r="S764" i="1"/>
  <c r="V764" i="1"/>
  <c r="AE764" i="1"/>
  <c r="AF764" i="1"/>
  <c r="AG764" i="1"/>
  <c r="AH764" i="1"/>
  <c r="AI764" i="1"/>
  <c r="AP764" i="1"/>
  <c r="G765" i="1"/>
  <c r="I765" i="1"/>
  <c r="S766" i="1"/>
  <c r="G767" i="1"/>
  <c r="I767" i="1"/>
  <c r="M767" i="1"/>
  <c r="N767" i="1"/>
  <c r="P767" i="1"/>
  <c r="S767" i="1"/>
  <c r="V767" i="1"/>
  <c r="AF767" i="1"/>
  <c r="AG767" i="1"/>
  <c r="AH767" i="1"/>
  <c r="AI767" i="1"/>
  <c r="AP767" i="1"/>
  <c r="G768" i="1"/>
  <c r="I768" i="1"/>
  <c r="M768" i="1"/>
  <c r="N768" i="1"/>
  <c r="P768" i="1"/>
  <c r="S768" i="1"/>
  <c r="V768" i="1"/>
  <c r="AF768" i="1"/>
  <c r="AG768" i="1"/>
  <c r="AH768" i="1"/>
  <c r="AI768" i="1"/>
  <c r="AP768" i="1"/>
  <c r="G769" i="1"/>
  <c r="I769" i="1"/>
  <c r="M769" i="1"/>
  <c r="N769" i="1"/>
  <c r="P769" i="1"/>
  <c r="S769" i="1"/>
  <c r="V769" i="1"/>
  <c r="AF769" i="1"/>
  <c r="AG769" i="1"/>
  <c r="AH769" i="1"/>
  <c r="AI769" i="1"/>
  <c r="AP769" i="1"/>
  <c r="G770" i="1"/>
  <c r="I770" i="1"/>
  <c r="M770" i="1"/>
  <c r="P770" i="1"/>
  <c r="AF770" i="1"/>
  <c r="AG770" i="1"/>
  <c r="AH770" i="1"/>
  <c r="AI770" i="1"/>
  <c r="AP770" i="1"/>
  <c r="AT770" i="1"/>
  <c r="S772" i="1"/>
  <c r="G773" i="1"/>
  <c r="I773" i="1"/>
  <c r="M773" i="1"/>
  <c r="N773" i="1"/>
  <c r="P773" i="1"/>
  <c r="S773" i="1"/>
  <c r="V773" i="1"/>
  <c r="AF773" i="1"/>
  <c r="AG773" i="1"/>
  <c r="AH773" i="1"/>
  <c r="AI773" i="1"/>
  <c r="AJ773" i="1"/>
  <c r="AP773" i="1"/>
  <c r="G774" i="1"/>
  <c r="I774" i="1"/>
  <c r="M774" i="1"/>
  <c r="N774" i="1"/>
  <c r="P774" i="1"/>
  <c r="S774" i="1"/>
  <c r="V774" i="1"/>
  <c r="AE774" i="1"/>
  <c r="AF774" i="1"/>
  <c r="AG774" i="1"/>
  <c r="AH774" i="1"/>
  <c r="AP774" i="1"/>
  <c r="G775" i="1"/>
  <c r="I775" i="1"/>
  <c r="G776" i="1"/>
  <c r="I776" i="1"/>
  <c r="S776" i="1"/>
  <c r="V776" i="1"/>
  <c r="AE776" i="1"/>
  <c r="AH776" i="1"/>
  <c r="AI776" i="1"/>
  <c r="AP776" i="1"/>
  <c r="G777" i="1"/>
  <c r="I777" i="1"/>
  <c r="S777" i="1"/>
  <c r="V777" i="1"/>
  <c r="G778" i="1"/>
  <c r="I778" i="1"/>
  <c r="M778" i="1"/>
  <c r="N778" i="1"/>
  <c r="P778" i="1"/>
  <c r="S778" i="1"/>
  <c r="V778" i="1"/>
  <c r="AF778" i="1"/>
  <c r="AG778" i="1"/>
  <c r="AH778" i="1"/>
  <c r="AI778" i="1"/>
  <c r="AJ778" i="1"/>
  <c r="AP778" i="1"/>
  <c r="G779" i="1"/>
  <c r="I779" i="1"/>
  <c r="M779" i="1"/>
  <c r="N779" i="1"/>
  <c r="P779" i="1"/>
  <c r="S779" i="1"/>
  <c r="V779" i="1"/>
  <c r="AF779" i="1"/>
  <c r="AG779" i="1"/>
  <c r="AH779" i="1"/>
  <c r="AI779" i="1"/>
  <c r="AJ779" i="1"/>
  <c r="AP779" i="1"/>
  <c r="G780" i="1"/>
  <c r="I780" i="1"/>
  <c r="M780" i="1"/>
  <c r="N780" i="1"/>
  <c r="P780" i="1"/>
  <c r="S780" i="1"/>
  <c r="V780" i="1"/>
  <c r="AE780" i="1"/>
  <c r="AF780" i="1"/>
  <c r="AG780" i="1"/>
  <c r="AH780" i="1"/>
  <c r="AI780" i="1"/>
  <c r="AJ780" i="1"/>
  <c r="AP780" i="1"/>
  <c r="G781" i="1"/>
  <c r="I781" i="1"/>
  <c r="M781" i="1"/>
  <c r="P781" i="1"/>
  <c r="AF781" i="1"/>
  <c r="AG781" i="1"/>
  <c r="AH781" i="1"/>
  <c r="AI781" i="1"/>
  <c r="AP781" i="1"/>
  <c r="AT781" i="1"/>
  <c r="G782" i="1"/>
  <c r="I782" i="1"/>
  <c r="M782" i="1"/>
  <c r="N782" i="1"/>
  <c r="P782" i="1"/>
  <c r="S782" i="1"/>
  <c r="V782" i="1"/>
  <c r="AF782" i="1"/>
  <c r="AG782" i="1"/>
  <c r="AH782" i="1"/>
  <c r="AI782" i="1"/>
  <c r="AJ782" i="1"/>
  <c r="AP782" i="1"/>
  <c r="G783" i="1"/>
  <c r="I783" i="1"/>
  <c r="M783" i="1"/>
  <c r="N783" i="1"/>
  <c r="P783" i="1"/>
  <c r="S783" i="1"/>
  <c r="V783" i="1"/>
  <c r="AF783" i="1"/>
  <c r="AG783" i="1"/>
  <c r="AH783" i="1"/>
  <c r="AI783" i="1"/>
  <c r="AJ783" i="1"/>
  <c r="AP783" i="1"/>
  <c r="G784" i="1"/>
  <c r="S784" i="1"/>
  <c r="AF784" i="1"/>
  <c r="AG784" i="1"/>
  <c r="AP784" i="1"/>
  <c r="G785" i="1"/>
  <c r="I785" i="1"/>
  <c r="M785" i="1"/>
  <c r="N785" i="1"/>
  <c r="P785" i="1"/>
  <c r="S785" i="1"/>
  <c r="AF785" i="1"/>
  <c r="AG785" i="1"/>
  <c r="AH785" i="1"/>
  <c r="AI785" i="1"/>
  <c r="AK785" i="1"/>
  <c r="AP785" i="1"/>
  <c r="G786" i="1"/>
  <c r="I786" i="1"/>
  <c r="AE786" i="1"/>
  <c r="AF786" i="1"/>
  <c r="AG786" i="1"/>
  <c r="AH786" i="1"/>
  <c r="AI786" i="1"/>
  <c r="AK786" i="1"/>
  <c r="AP786" i="1"/>
  <c r="G787" i="1"/>
  <c r="I787" i="1"/>
  <c r="AF787" i="1"/>
  <c r="AP787" i="1"/>
  <c r="G788" i="1"/>
  <c r="I788" i="1"/>
  <c r="S788" i="1"/>
  <c r="AF788" i="1"/>
  <c r="AP788" i="1"/>
  <c r="G789" i="1"/>
  <c r="I789" i="1"/>
  <c r="M789" i="1"/>
  <c r="N789" i="1"/>
  <c r="P789" i="1"/>
  <c r="S789" i="1"/>
  <c r="V789" i="1"/>
  <c r="AF789" i="1"/>
  <c r="AG789" i="1"/>
  <c r="AH789" i="1"/>
  <c r="AI789" i="1"/>
  <c r="AP789" i="1"/>
  <c r="G790" i="1"/>
  <c r="I790" i="1"/>
  <c r="M790" i="1"/>
  <c r="N790" i="1"/>
  <c r="P790" i="1"/>
  <c r="S790" i="1"/>
  <c r="V790" i="1"/>
  <c r="AF790" i="1"/>
  <c r="AG790" i="1"/>
  <c r="AH790" i="1"/>
  <c r="AI790" i="1"/>
  <c r="AP790" i="1"/>
  <c r="G791" i="1"/>
  <c r="I791" i="1"/>
  <c r="M791" i="1"/>
  <c r="P791" i="1"/>
  <c r="AF791" i="1"/>
  <c r="AG791" i="1"/>
  <c r="AH791" i="1"/>
  <c r="G793" i="1"/>
  <c r="I793" i="1"/>
  <c r="M793" i="1"/>
  <c r="N793" i="1"/>
  <c r="P793" i="1"/>
  <c r="S793" i="1"/>
  <c r="V793" i="1"/>
  <c r="AF793" i="1"/>
  <c r="AG793" i="1"/>
  <c r="AH793" i="1"/>
  <c r="AI793" i="1"/>
  <c r="AJ793" i="1"/>
  <c r="AP793" i="1"/>
  <c r="G794" i="1"/>
  <c r="I794" i="1"/>
  <c r="M794" i="1"/>
  <c r="N794" i="1"/>
  <c r="P794" i="1"/>
  <c r="S794" i="1"/>
  <c r="V794" i="1"/>
  <c r="AF794" i="1"/>
  <c r="AG794" i="1"/>
  <c r="AH794" i="1"/>
  <c r="AI794" i="1"/>
  <c r="AJ794" i="1"/>
  <c r="AP794" i="1"/>
  <c r="G795" i="1"/>
  <c r="I795" i="1"/>
  <c r="M795" i="1"/>
  <c r="N795" i="1"/>
  <c r="P795" i="1"/>
  <c r="S795" i="1"/>
  <c r="V795" i="1"/>
  <c r="AE795" i="1"/>
  <c r="AF795" i="1"/>
  <c r="AG795" i="1"/>
  <c r="AH795" i="1"/>
  <c r="AI795" i="1"/>
  <c r="AJ795" i="1"/>
  <c r="AP795" i="1"/>
  <c r="S796" i="1"/>
  <c r="G797" i="1"/>
  <c r="I797" i="1"/>
  <c r="S797" i="1"/>
  <c r="G798" i="1"/>
  <c r="I798" i="1"/>
  <c r="M798" i="1"/>
  <c r="N798" i="1"/>
  <c r="P798" i="1"/>
  <c r="S798" i="1"/>
  <c r="V798" i="1"/>
  <c r="AF798" i="1"/>
  <c r="AG798" i="1"/>
  <c r="AH798" i="1"/>
  <c r="AI798" i="1"/>
  <c r="AJ798" i="1"/>
  <c r="AP798" i="1"/>
  <c r="G799" i="1"/>
  <c r="I799" i="1"/>
  <c r="M799" i="1"/>
  <c r="N799" i="1"/>
  <c r="P799" i="1"/>
  <c r="S799" i="1"/>
  <c r="V799" i="1"/>
  <c r="AE799" i="1"/>
  <c r="AF799" i="1"/>
  <c r="AG799" i="1"/>
  <c r="AH799" i="1"/>
  <c r="AI799" i="1"/>
  <c r="AJ799" i="1"/>
  <c r="AP799" i="1"/>
  <c r="G800" i="1"/>
  <c r="I800" i="1"/>
  <c r="S800" i="1"/>
  <c r="V800" i="1"/>
  <c r="AF800" i="1"/>
  <c r="AH800" i="1"/>
  <c r="AI800" i="1"/>
  <c r="AP800" i="1"/>
  <c r="G801" i="1"/>
  <c r="I801" i="1"/>
  <c r="M801" i="1"/>
  <c r="N801" i="1"/>
  <c r="P801" i="1"/>
  <c r="S801" i="1"/>
  <c r="V801" i="1"/>
  <c r="AE801" i="1"/>
  <c r="AF801" i="1"/>
  <c r="AH801" i="1"/>
  <c r="AI801" i="1"/>
  <c r="AP801" i="1"/>
  <c r="G802" i="1"/>
  <c r="I802" i="1"/>
  <c r="M802" i="1"/>
  <c r="N802" i="1"/>
  <c r="P802" i="1"/>
  <c r="S802" i="1"/>
  <c r="V802" i="1"/>
  <c r="AE802" i="1"/>
  <c r="AF802" i="1"/>
  <c r="AH802" i="1"/>
  <c r="AI802" i="1"/>
  <c r="AP802" i="1"/>
  <c r="G803" i="1"/>
  <c r="I803" i="1"/>
  <c r="M803" i="1"/>
  <c r="N803" i="1"/>
  <c r="P803" i="1"/>
  <c r="S803" i="1"/>
  <c r="AF803" i="1"/>
  <c r="AH803" i="1"/>
  <c r="AI803" i="1"/>
  <c r="G804" i="1"/>
  <c r="I804" i="1"/>
  <c r="M804" i="1"/>
  <c r="N804" i="1"/>
  <c r="P804" i="1"/>
  <c r="S804" i="1"/>
  <c r="V804" i="1"/>
  <c r="AF804" i="1"/>
  <c r="AG804" i="1"/>
  <c r="AH804" i="1"/>
  <c r="AI804" i="1"/>
  <c r="AJ804" i="1"/>
  <c r="AP804" i="1"/>
  <c r="G805" i="1"/>
  <c r="I805" i="1"/>
  <c r="M805" i="1"/>
  <c r="N805" i="1"/>
  <c r="P805" i="1"/>
  <c r="S805" i="1"/>
  <c r="V805" i="1"/>
  <c r="AE805" i="1"/>
  <c r="AF805" i="1"/>
  <c r="AG805" i="1"/>
  <c r="AH805" i="1"/>
  <c r="AI805" i="1"/>
  <c r="AJ805" i="1"/>
  <c r="AP805" i="1"/>
  <c r="G806" i="1"/>
  <c r="I806" i="1"/>
  <c r="M806" i="1"/>
  <c r="N806" i="1"/>
  <c r="P806" i="1"/>
  <c r="S806" i="1"/>
  <c r="V806" i="1"/>
  <c r="AE806" i="1"/>
  <c r="AF806" i="1"/>
  <c r="AG806" i="1"/>
  <c r="AH806" i="1"/>
  <c r="AI806" i="1"/>
  <c r="AJ806" i="1"/>
  <c r="AP806" i="1"/>
  <c r="G807" i="1"/>
  <c r="I807" i="1"/>
  <c r="M807" i="1"/>
  <c r="P807" i="1"/>
  <c r="AF807" i="1"/>
  <c r="AG807" i="1"/>
  <c r="AH807" i="1"/>
  <c r="AI807" i="1"/>
  <c r="AP807" i="1"/>
  <c r="AT807" i="1"/>
  <c r="G808" i="1"/>
  <c r="S808" i="1"/>
  <c r="AF808" i="1"/>
  <c r="AG808" i="1"/>
  <c r="AP808" i="1"/>
  <c r="G809" i="1"/>
  <c r="M809" i="1"/>
  <c r="N809" i="1"/>
  <c r="P809" i="1"/>
  <c r="S809" i="1"/>
  <c r="AF809" i="1"/>
  <c r="AG809" i="1"/>
  <c r="AI809" i="1"/>
  <c r="AP809" i="1"/>
  <c r="G810" i="1"/>
  <c r="I810" i="1"/>
  <c r="M810" i="1"/>
  <c r="G811" i="1"/>
  <c r="G812" i="1"/>
  <c r="I812" i="1"/>
  <c r="M812" i="1"/>
  <c r="N812" i="1"/>
  <c r="P812" i="1"/>
  <c r="S812" i="1"/>
  <c r="V812" i="1"/>
  <c r="AF812" i="1"/>
  <c r="AG812" i="1"/>
  <c r="AH812" i="1"/>
  <c r="AI812" i="1"/>
  <c r="AJ812" i="1"/>
  <c r="AP812" i="1"/>
  <c r="G813" i="1"/>
  <c r="I813" i="1"/>
  <c r="M813" i="1"/>
  <c r="N813" i="1"/>
  <c r="P813" i="1"/>
  <c r="S813" i="1"/>
  <c r="V813" i="1"/>
  <c r="AF813" i="1"/>
  <c r="AG813" i="1"/>
  <c r="AH813" i="1"/>
  <c r="AI813" i="1"/>
  <c r="AJ813" i="1"/>
  <c r="AP813" i="1"/>
  <c r="G814" i="1"/>
  <c r="I814" i="1"/>
  <c r="M814" i="1"/>
  <c r="N814" i="1"/>
  <c r="P814" i="1"/>
  <c r="S814" i="1"/>
  <c r="V814" i="1"/>
  <c r="AE814" i="1"/>
  <c r="AF814" i="1"/>
  <c r="AG814" i="1"/>
  <c r="AH814" i="1"/>
  <c r="AI814" i="1"/>
  <c r="AJ814" i="1"/>
  <c r="AP814" i="1"/>
  <c r="G815" i="1"/>
  <c r="I815" i="1"/>
  <c r="M815" i="1"/>
  <c r="N815" i="1"/>
  <c r="P815" i="1"/>
  <c r="S815" i="1"/>
  <c r="V815" i="1"/>
  <c r="AE815" i="1"/>
  <c r="AF815" i="1"/>
  <c r="AG815" i="1"/>
  <c r="AH815" i="1"/>
  <c r="AI815" i="1"/>
  <c r="AJ815" i="1"/>
  <c r="AP815" i="1"/>
  <c r="G816" i="1"/>
  <c r="I816" i="1"/>
  <c r="M816" i="1"/>
  <c r="P816" i="1"/>
  <c r="AF816" i="1"/>
  <c r="AG816" i="1"/>
  <c r="AH816" i="1"/>
  <c r="AI816" i="1"/>
  <c r="AP816" i="1"/>
  <c r="AT816" i="1"/>
  <c r="G819" i="1"/>
  <c r="I819" i="1"/>
  <c r="S819" i="1"/>
  <c r="V819" i="1"/>
  <c r="AE819" i="1"/>
  <c r="AF819" i="1"/>
  <c r="AH819" i="1"/>
  <c r="AP819" i="1"/>
</calcChain>
</file>

<file path=xl/comments1.xml><?xml version="1.0" encoding="utf-8"?>
<comments xmlns="http://schemas.openxmlformats.org/spreadsheetml/2006/main">
  <authors>
    <author>Paulius Noreika</author>
  </authors>
  <commentList>
    <comment ref="S233" authorId="0">
      <text>
        <r>
          <rPr>
            <b/>
            <sz val="9"/>
            <color indexed="81"/>
            <rFont val="Tahoma"/>
            <charset val="1"/>
          </rPr>
          <t>Paulius Noreika:</t>
        </r>
        <r>
          <rPr>
            <sz val="9"/>
            <color indexed="81"/>
            <rFont val="Tahoma"/>
            <charset val="1"/>
          </rPr>
          <t xml:space="preserve">
Note. This interface is able control mute pcb with src btn separetely.</t>
        </r>
      </text>
    </comment>
    <comment ref="S234" authorId="0">
      <text>
        <r>
          <rPr>
            <b/>
            <sz val="9"/>
            <color indexed="81"/>
            <rFont val="Tahoma"/>
            <charset val="1"/>
          </rPr>
          <t>Paulius Noreika:</t>
        </r>
        <r>
          <rPr>
            <sz val="9"/>
            <color indexed="81"/>
            <rFont val="Tahoma"/>
            <charset val="1"/>
          </rPr>
          <t xml:space="preserve">
Note. This interface is able control mute pcb with src btn separetely.</t>
        </r>
      </text>
    </comment>
    <comment ref="S237" authorId="0">
      <text>
        <r>
          <rPr>
            <b/>
            <sz val="9"/>
            <color indexed="81"/>
            <rFont val="Tahoma"/>
            <charset val="1"/>
          </rPr>
          <t>Paulius Noreika:</t>
        </r>
        <r>
          <rPr>
            <sz val="9"/>
            <color indexed="81"/>
            <rFont val="Tahoma"/>
            <charset val="1"/>
          </rPr>
          <t xml:space="preserve">
Note. This interface is able control mute pcb with src btn separetely.</t>
        </r>
      </text>
    </comment>
    <comment ref="S239" authorId="0">
      <text>
        <r>
          <rPr>
            <b/>
            <sz val="9"/>
            <color indexed="81"/>
            <rFont val="Tahoma"/>
            <charset val="1"/>
          </rPr>
          <t>Paulius Noreika:</t>
        </r>
        <r>
          <rPr>
            <sz val="9"/>
            <color indexed="81"/>
            <rFont val="Tahoma"/>
            <charset val="1"/>
          </rPr>
          <t xml:space="preserve">
Note. This interface is able control mute pcb with src btn separetely.</t>
        </r>
      </text>
    </comment>
    <comment ref="S241" authorId="0">
      <text>
        <r>
          <rPr>
            <b/>
            <sz val="9"/>
            <color indexed="81"/>
            <rFont val="Tahoma"/>
            <charset val="1"/>
          </rPr>
          <t>Paulius Noreika:</t>
        </r>
        <r>
          <rPr>
            <sz val="9"/>
            <color indexed="81"/>
            <rFont val="Tahoma"/>
            <charset val="1"/>
          </rPr>
          <t xml:space="preserve">
Note. This interface is able control mute pcb with src btn separetely.</t>
        </r>
      </text>
    </comment>
    <comment ref="S242" authorId="0">
      <text>
        <r>
          <rPr>
            <b/>
            <sz val="9"/>
            <color indexed="81"/>
            <rFont val="Tahoma"/>
            <charset val="1"/>
          </rPr>
          <t>Paulius Noreika:</t>
        </r>
        <r>
          <rPr>
            <sz val="9"/>
            <color indexed="81"/>
            <rFont val="Tahoma"/>
            <charset val="1"/>
          </rPr>
          <t xml:space="preserve">
Note. This interface is able control mute pcb with src btn separetely.</t>
        </r>
      </text>
    </comment>
    <comment ref="S245" authorId="0">
      <text>
        <r>
          <rPr>
            <b/>
            <sz val="9"/>
            <color indexed="81"/>
            <rFont val="Tahoma"/>
            <charset val="1"/>
          </rPr>
          <t>Paulius Noreika:</t>
        </r>
        <r>
          <rPr>
            <sz val="9"/>
            <color indexed="81"/>
            <rFont val="Tahoma"/>
            <charset val="1"/>
          </rPr>
          <t xml:space="preserve">
Note. This interface is able control mute pcb with src btn separetely.</t>
        </r>
      </text>
    </comment>
  </commentList>
</comments>
</file>

<file path=xl/sharedStrings.xml><?xml version="1.0" encoding="utf-8"?>
<sst xmlns="http://schemas.openxmlformats.org/spreadsheetml/2006/main" count="5445" uniqueCount="1444">
  <si>
    <t>Fahrzeugliste</t>
  </si>
  <si>
    <t>Stand:</t>
  </si>
  <si>
    <t>Language</t>
  </si>
  <si>
    <t>Alfa</t>
  </si>
  <si>
    <t xml:space="preserve"> 2000-2006</t>
  </si>
  <si>
    <t>ohne CAN</t>
  </si>
  <si>
    <t xml:space="preserve"> </t>
  </si>
  <si>
    <t>B-3504702</t>
  </si>
  <si>
    <t>2006-2010</t>
  </si>
  <si>
    <t>mit CAN</t>
  </si>
  <si>
    <t xml:space="preserve">  </t>
  </si>
  <si>
    <t>standard</t>
  </si>
  <si>
    <t>C-3474261</t>
  </si>
  <si>
    <t>2002-2005</t>
  </si>
  <si>
    <t>'2005-2011</t>
  </si>
  <si>
    <t>Blue &amp; me</t>
  </si>
  <si>
    <t>exklusiv3)</t>
  </si>
  <si>
    <t>C-3474266</t>
  </si>
  <si>
    <t>4C</t>
  </si>
  <si>
    <t>2013-</t>
  </si>
  <si>
    <t>Brera</t>
  </si>
  <si>
    <t>2005-2010</t>
  </si>
  <si>
    <t>GT</t>
  </si>
  <si>
    <t>2004-2010</t>
  </si>
  <si>
    <t>Giulia</t>
  </si>
  <si>
    <t>2016-</t>
  </si>
  <si>
    <t>Giulietta</t>
  </si>
  <si>
    <t>2010-</t>
  </si>
  <si>
    <t>Mito</t>
  </si>
  <si>
    <t>2008-</t>
  </si>
  <si>
    <t>Ab 2013
H-3473003</t>
  </si>
  <si>
    <t xml:space="preserve">Spider </t>
  </si>
  <si>
    <t>Stelvio</t>
  </si>
  <si>
    <t>Audi</t>
  </si>
  <si>
    <t>A1</t>
  </si>
  <si>
    <t>8X</t>
  </si>
  <si>
    <t>A2</t>
  </si>
  <si>
    <t>8Z</t>
  </si>
  <si>
    <t>1999-2005</t>
  </si>
  <si>
    <t>nur Fahrzeuge mit CAN</t>
  </si>
  <si>
    <t>C-3474701</t>
  </si>
  <si>
    <t>B-3444703</t>
  </si>
  <si>
    <t>A3</t>
  </si>
  <si>
    <t>8L</t>
  </si>
  <si>
    <t>1996-2003</t>
  </si>
  <si>
    <t>economic</t>
  </si>
  <si>
    <t>B-3414704</t>
  </si>
  <si>
    <t>8P, 8PA</t>
  </si>
  <si>
    <t>'2003-2013</t>
  </si>
  <si>
    <t>Quadlock-Stecker</t>
  </si>
  <si>
    <t>C-3444256</t>
  </si>
  <si>
    <t>C-3474251</t>
  </si>
  <si>
    <t>B-3444751</t>
  </si>
  <si>
    <t>B-3444451</t>
  </si>
  <si>
    <t>Ab 2005
3614751</t>
  </si>
  <si>
    <t>C-3524041</t>
  </si>
  <si>
    <t>ISO-Stecker</t>
  </si>
  <si>
    <t>C-3444203</t>
  </si>
  <si>
    <t>B-3444403</t>
  </si>
  <si>
    <t>offene Kabelenden</t>
  </si>
  <si>
    <t>8V</t>
  </si>
  <si>
    <t>2012-</t>
  </si>
  <si>
    <t>A4</t>
  </si>
  <si>
    <t>8E / B6</t>
  </si>
  <si>
    <t>2000-2004</t>
  </si>
  <si>
    <t xml:space="preserve"> B-3444451</t>
  </si>
  <si>
    <t>8E / B7</t>
  </si>
  <si>
    <t>2004-2008</t>
  </si>
  <si>
    <t>8K / B8</t>
  </si>
  <si>
    <t>2007-2015</t>
  </si>
  <si>
    <t>A100.bin</t>
  </si>
  <si>
    <t>SAD02x</t>
  </si>
  <si>
    <t>8W / B9</t>
  </si>
  <si>
    <t>2015-</t>
  </si>
  <si>
    <t>A5</t>
  </si>
  <si>
    <t>8T</t>
  </si>
  <si>
    <t>'2007-2016</t>
  </si>
  <si>
    <t>F5</t>
  </si>
  <si>
    <t>A6</t>
  </si>
  <si>
    <t>4B / C5</t>
  </si>
  <si>
    <t>2001-2004</t>
  </si>
  <si>
    <t>4F / C6</t>
  </si>
  <si>
    <t>2004-2011</t>
  </si>
  <si>
    <t>A101.bin</t>
  </si>
  <si>
    <t>SAD01x</t>
  </si>
  <si>
    <t>4G / C7</t>
  </si>
  <si>
    <t>2011-</t>
  </si>
  <si>
    <t>A7</t>
  </si>
  <si>
    <t>A8</t>
  </si>
  <si>
    <t>4D</t>
  </si>
  <si>
    <t>2000-2002</t>
  </si>
  <si>
    <t>4E</t>
  </si>
  <si>
    <t>2003-2010</t>
  </si>
  <si>
    <t>4H</t>
  </si>
  <si>
    <t>Q2</t>
  </si>
  <si>
    <t>Q3</t>
  </si>
  <si>
    <t>8U</t>
  </si>
  <si>
    <t>2011-2014</t>
  </si>
  <si>
    <t>Bei Abgriff am Kombi kann VW05 und 76-er Signalbox verwendet werden.</t>
  </si>
  <si>
    <t>8U Facelift</t>
  </si>
  <si>
    <t>Q5</t>
  </si>
  <si>
    <t>8R</t>
  </si>
  <si>
    <t>2008-2016</t>
  </si>
  <si>
    <t>FY</t>
  </si>
  <si>
    <t>2017-</t>
  </si>
  <si>
    <t>Q7</t>
  </si>
  <si>
    <t>4L</t>
  </si>
  <si>
    <t>2005-2015</t>
  </si>
  <si>
    <t>34990001 CAN an Klimabedienteil</t>
  </si>
  <si>
    <t>4M</t>
  </si>
  <si>
    <t>TT</t>
  </si>
  <si>
    <t>8N</t>
  </si>
  <si>
    <t>2001-2006</t>
  </si>
  <si>
    <t>8J</t>
  </si>
  <si>
    <t>2006-</t>
  </si>
  <si>
    <t>8S</t>
  </si>
  <si>
    <t>2014-</t>
  </si>
  <si>
    <t>Bentley</t>
  </si>
  <si>
    <t>Continental Flying Spur</t>
  </si>
  <si>
    <t>2005-</t>
  </si>
  <si>
    <t>BMW</t>
  </si>
  <si>
    <t>1er</t>
  </si>
  <si>
    <t>E81, E82, E87, E88</t>
  </si>
  <si>
    <t>342BM01/2</t>
  </si>
  <si>
    <t>B-3444712</t>
  </si>
  <si>
    <t>C-3474712</t>
  </si>
  <si>
    <t>B-3474712</t>
  </si>
  <si>
    <t>H-3473003</t>
  </si>
  <si>
    <t>F20, F21</t>
  </si>
  <si>
    <t>2er</t>
  </si>
  <si>
    <t>F22, F23</t>
  </si>
  <si>
    <t>B-3546601</t>
  </si>
  <si>
    <t>2er Active Tourer</t>
  </si>
  <si>
    <t>F45</t>
  </si>
  <si>
    <t>2er Grand Tourer</t>
  </si>
  <si>
    <t>F46</t>
  </si>
  <si>
    <t>3er</t>
  </si>
  <si>
    <t>E36</t>
  </si>
  <si>
    <t>1997-2000</t>
  </si>
  <si>
    <t>letzte Serie / Rundpin-Stecker</t>
  </si>
  <si>
    <t>B-3414711</t>
  </si>
  <si>
    <t>E46</t>
  </si>
  <si>
    <t>1998-2007</t>
  </si>
  <si>
    <t>BMW Rundpin-Stecker</t>
  </si>
  <si>
    <t>Quadlockstecker</t>
  </si>
  <si>
    <t>B-3414712</t>
  </si>
  <si>
    <t>E90, E91, E92, E93</t>
  </si>
  <si>
    <t>2005-2013</t>
  </si>
  <si>
    <t>Pin 13 im Quadlockstecker ist Remote für Originalverstärker</t>
  </si>
  <si>
    <t>B101.bin</t>
  </si>
  <si>
    <t>F30, F31, F34, F35</t>
  </si>
  <si>
    <t>4er</t>
  </si>
  <si>
    <t>F32, F33, F36</t>
  </si>
  <si>
    <t xml:space="preserve">BMW </t>
  </si>
  <si>
    <t>5er</t>
  </si>
  <si>
    <t>E39</t>
  </si>
  <si>
    <t>1995-2005</t>
  </si>
  <si>
    <t>Quadlock Stecker</t>
  </si>
  <si>
    <t>H- 3473003</t>
  </si>
  <si>
    <t>E60, E61</t>
  </si>
  <si>
    <t>ohne I-drive</t>
  </si>
  <si>
    <t>F07, F10, F11, F18</t>
  </si>
  <si>
    <t>'2010-2016</t>
  </si>
  <si>
    <t>B-3404700 geht am Radio</t>
  </si>
  <si>
    <t>G30, G31</t>
  </si>
  <si>
    <t>6er</t>
  </si>
  <si>
    <t>E63, E64</t>
  </si>
  <si>
    <t>F06, F12, F13</t>
  </si>
  <si>
    <t>7er</t>
  </si>
  <si>
    <t>E65</t>
  </si>
  <si>
    <t>2001-2008</t>
  </si>
  <si>
    <t>F01, F02, F03, F04</t>
  </si>
  <si>
    <t>2008-2015</t>
  </si>
  <si>
    <t>G11, G12</t>
  </si>
  <si>
    <t>i3</t>
  </si>
  <si>
    <t>I01</t>
  </si>
  <si>
    <t>X1</t>
  </si>
  <si>
    <t>E84</t>
  </si>
  <si>
    <t>2009-2015</t>
  </si>
  <si>
    <t>F48</t>
  </si>
  <si>
    <t>X3</t>
  </si>
  <si>
    <t>E83</t>
  </si>
  <si>
    <t>F25</t>
  </si>
  <si>
    <t>X4</t>
  </si>
  <si>
    <t>F26</t>
  </si>
  <si>
    <t>X5</t>
  </si>
  <si>
    <t>E53</t>
  </si>
  <si>
    <t>1999-2006</t>
  </si>
  <si>
    <t>E70</t>
  </si>
  <si>
    <t>2006-2013</t>
  </si>
  <si>
    <t>3530003,
3530005</t>
  </si>
  <si>
    <t>F15</t>
  </si>
  <si>
    <t>B-3546602</t>
  </si>
  <si>
    <t>X6</t>
  </si>
  <si>
    <t>E71</t>
  </si>
  <si>
    <t>2008-2014</t>
  </si>
  <si>
    <t>F16</t>
  </si>
  <si>
    <t>Z4</t>
  </si>
  <si>
    <t>E85, E86</t>
  </si>
  <si>
    <t>2002-2006</t>
  </si>
  <si>
    <t>Z4 (Facelift)</t>
  </si>
  <si>
    <t>2006-2009</t>
  </si>
  <si>
    <t>E89</t>
  </si>
  <si>
    <t>2009-2016</t>
  </si>
  <si>
    <t>Buick</t>
  </si>
  <si>
    <t>Encore</t>
  </si>
  <si>
    <t>Regal</t>
  </si>
  <si>
    <t>Chevrolet</t>
  </si>
  <si>
    <t>HHR</t>
  </si>
  <si>
    <t>Captiva</t>
  </si>
  <si>
    <t>2006-2011</t>
  </si>
  <si>
    <t>Facelift</t>
  </si>
  <si>
    <t>Cruze</t>
  </si>
  <si>
    <t>2009-</t>
  </si>
  <si>
    <t>Halogenlicht</t>
  </si>
  <si>
    <t>Xenonlicht</t>
  </si>
  <si>
    <t>Orlando</t>
  </si>
  <si>
    <t>10/2010-</t>
  </si>
  <si>
    <t>Chrysler</t>
  </si>
  <si>
    <t>I Gen.</t>
  </si>
  <si>
    <t>grauer Stecker, abgeschrägte Ecken</t>
  </si>
  <si>
    <t>exklusiv</t>
  </si>
  <si>
    <t>C-3474280</t>
  </si>
  <si>
    <t>brauner Stecker, eckig</t>
  </si>
  <si>
    <t>C-3474281</t>
  </si>
  <si>
    <t>II Gen.</t>
  </si>
  <si>
    <t>Grand Voyager</t>
  </si>
  <si>
    <t>V Gen.</t>
  </si>
  <si>
    <t>PT Cruiser</t>
  </si>
  <si>
    <t>Sebring</t>
  </si>
  <si>
    <t>JS</t>
  </si>
  <si>
    <t>2007-2010</t>
  </si>
  <si>
    <t>Citroen</t>
  </si>
  <si>
    <t>Berlingo</t>
  </si>
  <si>
    <t>1996-2008</t>
  </si>
  <si>
    <t>CI01</t>
  </si>
  <si>
    <t>II Gen. (B9)</t>
  </si>
  <si>
    <t>mit CAN am Radio</t>
  </si>
  <si>
    <t>C-3444241</t>
  </si>
  <si>
    <t>B-3444741</t>
  </si>
  <si>
    <t>C-3474741</t>
  </si>
  <si>
    <t>B-3474741</t>
  </si>
  <si>
    <t>2008-2012</t>
  </si>
  <si>
    <t>ohne CAN am Radio</t>
  </si>
  <si>
    <t>II Gen. (B9) MOPF</t>
  </si>
  <si>
    <t>2012-2015</t>
  </si>
  <si>
    <t>II Gen. (B9) 2. MOPF</t>
  </si>
  <si>
    <t>Boxer</t>
  </si>
  <si>
    <t>III Gen. (250)</t>
  </si>
  <si>
    <t>III Gen. (250) FL</t>
  </si>
  <si>
    <t>C-Crosser</t>
  </si>
  <si>
    <t>2007-</t>
  </si>
  <si>
    <t>C1</t>
  </si>
  <si>
    <t>'2005-2014</t>
  </si>
  <si>
    <t>C2</t>
  </si>
  <si>
    <t>2008-2010</t>
  </si>
  <si>
    <t>C3</t>
  </si>
  <si>
    <t>2009-2017</t>
  </si>
  <si>
    <t>III Gen.</t>
  </si>
  <si>
    <t>Picasso</t>
  </si>
  <si>
    <t>2009-2013</t>
  </si>
  <si>
    <t>C4</t>
  </si>
  <si>
    <t>I Gen. (L)</t>
  </si>
  <si>
    <t>2010-2015</t>
  </si>
  <si>
    <t>II Gen. Mopf</t>
  </si>
  <si>
    <t>Aircross</t>
  </si>
  <si>
    <t>Grand Picasso</t>
  </si>
  <si>
    <t>C5</t>
  </si>
  <si>
    <t>2001-2005</t>
  </si>
  <si>
    <t>2005-2008</t>
  </si>
  <si>
    <t xml:space="preserve">II Gen. </t>
  </si>
  <si>
    <t>C6</t>
  </si>
  <si>
    <t>2005-2012</t>
  </si>
  <si>
    <t>CB-1 funktioniert; CAN High Pin6, CAN Low Pin 14</t>
  </si>
  <si>
    <t>C8</t>
  </si>
  <si>
    <t>DS3</t>
  </si>
  <si>
    <t>DS4</t>
  </si>
  <si>
    <t>Jumper</t>
  </si>
  <si>
    <t>'2007-2011</t>
  </si>
  <si>
    <t>3450041, 3450042</t>
  </si>
  <si>
    <t>2012-2014</t>
  </si>
  <si>
    <t>Jumpy</t>
  </si>
  <si>
    <t>Nemo</t>
  </si>
  <si>
    <t>Pluriel</t>
  </si>
  <si>
    <t>Dacia</t>
  </si>
  <si>
    <t>Dokker</t>
  </si>
  <si>
    <t>Duster</t>
  </si>
  <si>
    <t>Lodgy</t>
  </si>
  <si>
    <t>Sandero</t>
  </si>
  <si>
    <t>DAF</t>
  </si>
  <si>
    <t>XF</t>
  </si>
  <si>
    <t>Daihatsu</t>
  </si>
  <si>
    <t>Materia</t>
  </si>
  <si>
    <t>Terios</t>
  </si>
  <si>
    <t>B-3414748</t>
  </si>
  <si>
    <t>Dodge</t>
  </si>
  <si>
    <t>Avenger</t>
  </si>
  <si>
    <t>Limousine</t>
  </si>
  <si>
    <t>2007-2011</t>
  </si>
  <si>
    <t>Caliber</t>
  </si>
  <si>
    <t>Charger</t>
  </si>
  <si>
    <t>I Gen. (LX)</t>
  </si>
  <si>
    <t>II Gen. (LX)</t>
  </si>
  <si>
    <t>Journey</t>
  </si>
  <si>
    <t>RAM</t>
  </si>
  <si>
    <t>IV Gen.</t>
  </si>
  <si>
    <t>FIAT</t>
  </si>
  <si>
    <t>500</t>
  </si>
  <si>
    <t>(150)</t>
  </si>
  <si>
    <t>Blue &amp; Me</t>
  </si>
  <si>
    <t>500L</t>
  </si>
  <si>
    <t>500X</t>
  </si>
  <si>
    <t>Bravo</t>
  </si>
  <si>
    <t>II Gen. (198)</t>
  </si>
  <si>
    <t>Croma</t>
  </si>
  <si>
    <t>II Gen. (194)</t>
  </si>
  <si>
    <t>Doblo</t>
  </si>
  <si>
    <t>I Gen. (223)</t>
  </si>
  <si>
    <t>II Gen. (263)</t>
  </si>
  <si>
    <t>Ducato</t>
  </si>
  <si>
    <t>F101.bin</t>
  </si>
  <si>
    <t>mit Touch-Headunit</t>
  </si>
  <si>
    <t>C-3474260-1</t>
  </si>
  <si>
    <t>für Fahrzeuge mit Widerstandsleitungen am Radio (wahrscheinlich Fahrzeuge mit Radiovorbereitung)</t>
  </si>
  <si>
    <t>C-3474264-R560</t>
  </si>
  <si>
    <t>Fiorino</t>
  </si>
  <si>
    <t>III Gen. (225)</t>
  </si>
  <si>
    <t>Freemont</t>
  </si>
  <si>
    <t>Grande Punto</t>
  </si>
  <si>
    <t>III Gen. (199)</t>
  </si>
  <si>
    <t>Idea</t>
  </si>
  <si>
    <t>(350)</t>
  </si>
  <si>
    <t>2003-</t>
  </si>
  <si>
    <t>Linea</t>
  </si>
  <si>
    <t>(110)</t>
  </si>
  <si>
    <t>Multipla</t>
  </si>
  <si>
    <t>(186)</t>
  </si>
  <si>
    <t>2004-</t>
  </si>
  <si>
    <t>Panda</t>
  </si>
  <si>
    <t>II Gen. (169)</t>
  </si>
  <si>
    <t>2003-2012</t>
  </si>
  <si>
    <t>III Gen. (312)</t>
  </si>
  <si>
    <t>Punto</t>
  </si>
  <si>
    <t>II Gen. (188)</t>
  </si>
  <si>
    <t>2004-2007</t>
  </si>
  <si>
    <t>III Gen. ( 199)</t>
  </si>
  <si>
    <t>'2005-2012</t>
  </si>
  <si>
    <t>III Gen. FL (199)</t>
  </si>
  <si>
    <t>Punto Evo</t>
  </si>
  <si>
    <t>2009-2011</t>
  </si>
  <si>
    <t>Scudo</t>
  </si>
  <si>
    <t>II Gen. (272)</t>
  </si>
  <si>
    <t>Sedici</t>
  </si>
  <si>
    <t>(189)</t>
  </si>
  <si>
    <t>2006-2014</t>
  </si>
  <si>
    <t>C-3474792</t>
  </si>
  <si>
    <t>B-3414786</t>
  </si>
  <si>
    <t>Stilo</t>
  </si>
  <si>
    <t>Ulysse</t>
  </si>
  <si>
    <t>I Gen. (220)</t>
  </si>
  <si>
    <t>II Gen. (179AX)</t>
  </si>
  <si>
    <t>Qubo</t>
  </si>
  <si>
    <t>(300)</t>
  </si>
  <si>
    <t>FMS</t>
  </si>
  <si>
    <t>diverse</t>
  </si>
  <si>
    <t>Ford</t>
  </si>
  <si>
    <t>B-Max</t>
  </si>
  <si>
    <t>06/2012-</t>
  </si>
  <si>
    <t>FD01 geht speed, Abgriff am Radio laut Hr. Schirmer mehr wurde nicht getestet</t>
  </si>
  <si>
    <t>C-Max</t>
  </si>
  <si>
    <t>I Gen. (C214)</t>
  </si>
  <si>
    <t>C-3474752</t>
  </si>
  <si>
    <t>auch Grand C-Max</t>
  </si>
  <si>
    <t>F-150 Raptor</t>
  </si>
  <si>
    <t>Fiesta</t>
  </si>
  <si>
    <t>VI Gen. (JH1/ JD3)</t>
  </si>
  <si>
    <t>VI Gen. (JH1/ JD3) FL</t>
  </si>
  <si>
    <t>LKF-IF für MK7 Doppel DIN Radio</t>
  </si>
  <si>
    <t>VII Gen. (JA8)</t>
  </si>
  <si>
    <t>Modellpflege (Fiesta ’12)</t>
  </si>
  <si>
    <t>342 FD01  geht am OBD 3 + 11 oder himterm Radio Stecker Flach Lila / orange Low , Grau/ orange High</t>
  </si>
  <si>
    <t>Focus</t>
  </si>
  <si>
    <t>II Gen. (C307)</t>
  </si>
  <si>
    <t>SFD01x</t>
  </si>
  <si>
    <t>III Gen. (C346)</t>
  </si>
  <si>
    <t>Fusion</t>
  </si>
  <si>
    <t>facelift</t>
  </si>
  <si>
    <t>Galaxy</t>
  </si>
  <si>
    <t>II Gen. (WA6)</t>
  </si>
  <si>
    <t>II Gen. (WA6) facelift</t>
  </si>
  <si>
    <t>2010-2014</t>
  </si>
  <si>
    <t>KA</t>
  </si>
  <si>
    <t>II Gen. (RU8)</t>
  </si>
  <si>
    <t>B-340 4700 KL15 Pinen wieFiat (Bild5),</t>
  </si>
  <si>
    <t>Kuga</t>
  </si>
  <si>
    <t>I.Gen</t>
  </si>
  <si>
    <t>'2008-2013</t>
  </si>
  <si>
    <t xml:space="preserve">II. Gen  </t>
  </si>
  <si>
    <t>Mondeo</t>
  </si>
  <si>
    <t>III Gen. (B4Y, B5Y, BWY)</t>
  </si>
  <si>
    <t>2003-2007</t>
  </si>
  <si>
    <t>Taxi-Modul geht erst ab 2006!, Hinweis Entwicklung: evtl. B-3504701</t>
  </si>
  <si>
    <t>IV Gen. (BA7)</t>
  </si>
  <si>
    <t>IV Gen. (BA7) facelift</t>
  </si>
  <si>
    <t>Ranger</t>
  </si>
  <si>
    <t>2012-2016</t>
  </si>
  <si>
    <t>S-Max</t>
  </si>
  <si>
    <t>I Gen. Facelift</t>
  </si>
  <si>
    <t>Tourneo Connect</t>
  </si>
  <si>
    <t>I. Gen</t>
  </si>
  <si>
    <t>2003-2006</t>
  </si>
  <si>
    <t>B-3474753</t>
  </si>
  <si>
    <t>C-3474753</t>
  </si>
  <si>
    <t>I. Gen MOPF</t>
  </si>
  <si>
    <t>Tourneo Courier</t>
  </si>
  <si>
    <t>342 FD01 geht evtl. an OBD 3 + 11</t>
  </si>
  <si>
    <t>Transit</t>
  </si>
  <si>
    <t xml:space="preserve">VI Gen.  </t>
  </si>
  <si>
    <t>SFD02x</t>
  </si>
  <si>
    <t xml:space="preserve">VII Gen.  </t>
  </si>
  <si>
    <t>Transit Connect</t>
  </si>
  <si>
    <t>Transit Courier</t>
  </si>
  <si>
    <t>Honda</t>
  </si>
  <si>
    <t>Accord</t>
  </si>
  <si>
    <t>2008-2011</t>
  </si>
  <si>
    <t>B-3414778</t>
  </si>
  <si>
    <t>2011-2015</t>
  </si>
  <si>
    <t>IX Gen.</t>
  </si>
  <si>
    <t>Ballade</t>
  </si>
  <si>
    <t>Civic</t>
  </si>
  <si>
    <t xml:space="preserve">IIX Gen. </t>
  </si>
  <si>
    <t>C-3474796</t>
  </si>
  <si>
    <t>B-3414796</t>
  </si>
  <si>
    <t>X Gen.</t>
  </si>
  <si>
    <t>CR-V</t>
  </si>
  <si>
    <t>C-3474797</t>
  </si>
  <si>
    <t>2006-2012</t>
  </si>
  <si>
    <t>CB-1 funktioniert; CAN High Pin6, CAN Low Pin 14 hh laut WAL Wien</t>
  </si>
  <si>
    <t>CR-Z</t>
  </si>
  <si>
    <t>Fit</t>
  </si>
  <si>
    <t>Area</t>
  </si>
  <si>
    <t>FR-V</t>
  </si>
  <si>
    <t>2005-2009</t>
  </si>
  <si>
    <t>HR-V</t>
  </si>
  <si>
    <t>Insight</t>
  </si>
  <si>
    <t>Jazz</t>
  </si>
  <si>
    <t>11/2008-</t>
  </si>
  <si>
    <t>MR-V</t>
  </si>
  <si>
    <t>Odyssey</t>
  </si>
  <si>
    <t>Pilot</t>
  </si>
  <si>
    <t>Hummer</t>
  </si>
  <si>
    <t>H2</t>
  </si>
  <si>
    <t>3470004  (nur LKF)</t>
  </si>
  <si>
    <t>C-3474700</t>
  </si>
  <si>
    <t>Hyundai</t>
  </si>
  <si>
    <t>Equus</t>
  </si>
  <si>
    <t>H-1</t>
  </si>
  <si>
    <t>B-3414799-H</t>
  </si>
  <si>
    <t>Genesis Coupe</t>
  </si>
  <si>
    <t>Genesis Limo</t>
  </si>
  <si>
    <t>i10</t>
  </si>
  <si>
    <t>I Gen. FL</t>
  </si>
  <si>
    <t>2011-2013</t>
  </si>
  <si>
    <t>i20</t>
  </si>
  <si>
    <t>I Gen. (PB)</t>
  </si>
  <si>
    <t>B-3414798-H</t>
  </si>
  <si>
    <t>II Gen. (GB)</t>
  </si>
  <si>
    <t>i30</t>
  </si>
  <si>
    <t>FD</t>
  </si>
  <si>
    <t>GD</t>
  </si>
  <si>
    <t>PD</t>
  </si>
  <si>
    <t>i40</t>
  </si>
  <si>
    <t>CB1 Laut Fa. Graf 1700 Pulse</t>
  </si>
  <si>
    <t>Santa Fe</t>
  </si>
  <si>
    <t>(CM)</t>
  </si>
  <si>
    <t>III Gen. (DM)</t>
  </si>
  <si>
    <t>laus Klaus Dachau  B-341 4799-H</t>
  </si>
  <si>
    <t>IX20</t>
  </si>
  <si>
    <t>IX35</t>
  </si>
  <si>
    <t>IX55</t>
  </si>
  <si>
    <t>ohne Soundsystem</t>
  </si>
  <si>
    <t>Isuzu</t>
  </si>
  <si>
    <t>D-Max</t>
  </si>
  <si>
    <t>Iveco</t>
  </si>
  <si>
    <t>Daily IV</t>
  </si>
  <si>
    <t>Daily V</t>
  </si>
  <si>
    <t>Iveco Bus</t>
  </si>
  <si>
    <t>Crossway LE</t>
  </si>
  <si>
    <t>B-3444707</t>
  </si>
  <si>
    <t>Jaguar</t>
  </si>
  <si>
    <t>X250</t>
  </si>
  <si>
    <t>X260</t>
  </si>
  <si>
    <t>XK</t>
  </si>
  <si>
    <t>XKR</t>
  </si>
  <si>
    <t>Jeep</t>
  </si>
  <si>
    <t>Commander</t>
  </si>
  <si>
    <t>(XK)</t>
  </si>
  <si>
    <t>Grand Cherokee</t>
  </si>
  <si>
    <t>(WK)</t>
  </si>
  <si>
    <t>(WK2)</t>
  </si>
  <si>
    <t>2010-2013</t>
  </si>
  <si>
    <t>(WK2) MOPF</t>
  </si>
  <si>
    <t>nur W-Version!</t>
  </si>
  <si>
    <t>Wrangler</t>
  </si>
  <si>
    <t>JK</t>
  </si>
  <si>
    <t>Kia</t>
  </si>
  <si>
    <t>Cee'd</t>
  </si>
  <si>
    <t>C-3474498</t>
  </si>
  <si>
    <t>B-3414798-K</t>
  </si>
  <si>
    <t>B-3414799-K</t>
  </si>
  <si>
    <t>Carens</t>
  </si>
  <si>
    <t>'2006-2013</t>
  </si>
  <si>
    <t xml:space="preserve">Kia </t>
  </si>
  <si>
    <t>Carnival</t>
  </si>
  <si>
    <t>Magentis</t>
  </si>
  <si>
    <t>Picanto</t>
  </si>
  <si>
    <t>Rio II</t>
  </si>
  <si>
    <t>Sorento</t>
  </si>
  <si>
    <t>I Gen. (BL)</t>
  </si>
  <si>
    <t>2002-2009</t>
  </si>
  <si>
    <t>II Gen. (XM)</t>
  </si>
  <si>
    <t>Soul</t>
  </si>
  <si>
    <t>Sportage</t>
  </si>
  <si>
    <t>II Gen. (JE)</t>
  </si>
  <si>
    <t>III Gen. (SL)</t>
  </si>
  <si>
    <t>Venga</t>
  </si>
  <si>
    <t>Lancia</t>
  </si>
  <si>
    <t>Delta</t>
  </si>
  <si>
    <t>III Gen. (844)</t>
  </si>
  <si>
    <t>Musa</t>
  </si>
  <si>
    <t>Phedra</t>
  </si>
  <si>
    <t>Thema</t>
  </si>
  <si>
    <t>Ypsilon</t>
  </si>
  <si>
    <t>(843)</t>
  </si>
  <si>
    <t>2003-2011</t>
  </si>
  <si>
    <t>(846)</t>
  </si>
  <si>
    <t>Voyager</t>
  </si>
  <si>
    <t>Landrover</t>
  </si>
  <si>
    <t>Discovery</t>
  </si>
  <si>
    <t>2002-2004</t>
  </si>
  <si>
    <t>2004-2009</t>
  </si>
  <si>
    <t>Freelander</t>
  </si>
  <si>
    <t>Range Rover</t>
  </si>
  <si>
    <t>MK III</t>
  </si>
  <si>
    <t>'2002-2012</t>
  </si>
  <si>
    <t>MK IV</t>
  </si>
  <si>
    <t>Lexus</t>
  </si>
  <si>
    <t>GS 450h</t>
  </si>
  <si>
    <t>RX 450h</t>
  </si>
  <si>
    <t>MAN</t>
  </si>
  <si>
    <t>TGA</t>
  </si>
  <si>
    <t>mit DoppelDIN Radio</t>
  </si>
  <si>
    <t>exklusiv4)</t>
  </si>
  <si>
    <t>C-3474277</t>
  </si>
  <si>
    <t>TGL</t>
  </si>
  <si>
    <t>TGM</t>
  </si>
  <si>
    <t>TGS</t>
  </si>
  <si>
    <t>TGX</t>
  </si>
  <si>
    <t>Mazda</t>
  </si>
  <si>
    <t>2</t>
  </si>
  <si>
    <t>B-3414794</t>
  </si>
  <si>
    <t>3</t>
  </si>
  <si>
    <t>2003-2009</t>
  </si>
  <si>
    <t>5</t>
  </si>
  <si>
    <t>2005-2007</t>
  </si>
  <si>
    <t>6</t>
  </si>
  <si>
    <t>I Gen. (GG/GY)</t>
  </si>
  <si>
    <t>2002-2008</t>
  </si>
  <si>
    <t>II Gen. (GH)</t>
  </si>
  <si>
    <t>Bose Soundsystem kann über Remote eingeschalten werden (High-Low-Adapter wird sehr warscheinlich benötigt) MC</t>
  </si>
  <si>
    <t>III Gen. (GJ)</t>
  </si>
  <si>
    <t>2012 -</t>
  </si>
  <si>
    <t>CX-5</t>
  </si>
  <si>
    <t>CX-7</t>
  </si>
  <si>
    <t>MX-5</t>
  </si>
  <si>
    <t>III Gen. (NC)</t>
  </si>
  <si>
    <t>C-3474794</t>
  </si>
  <si>
    <t>III Gen. (NC) Facelift</t>
  </si>
  <si>
    <t>RX-8</t>
  </si>
  <si>
    <t>Mercedes</t>
  </si>
  <si>
    <t>A</t>
  </si>
  <si>
    <t>(W169)</t>
  </si>
  <si>
    <t>'2004-2012</t>
  </si>
  <si>
    <t>Radio: Audio 5</t>
  </si>
  <si>
    <t>C-3474721</t>
  </si>
  <si>
    <t>Radio: Audio 10 10poliger ISO</t>
  </si>
  <si>
    <t>C-3474722</t>
  </si>
  <si>
    <t xml:space="preserve">Radio:  Audio 20, NTG,1 Quadlock Stecker Kammer 3, Pin 1 CAN Low,Pin 2 CAN High </t>
  </si>
  <si>
    <t>C-3474724</t>
  </si>
  <si>
    <t>Radio: Audio 20, APS50, NTG 2, Quadlock Stecker Kammer 2, Pin 9 CAN Low,Pin 11 CAN High</t>
  </si>
  <si>
    <t>C-3474723</t>
  </si>
  <si>
    <t>(W176)</t>
  </si>
  <si>
    <t xml:space="preserve">Klimabedienteil: 16-pol. MQS-Stecker, Pin 4 CAN Low, Pin 5 CAN High </t>
  </si>
  <si>
    <t>Anmerkung Entwicklung: evtl. 34990016</t>
  </si>
  <si>
    <t>Actros</t>
  </si>
  <si>
    <t xml:space="preserve">MP2 </t>
  </si>
  <si>
    <t>MP4</t>
  </si>
  <si>
    <t>Atego</t>
  </si>
  <si>
    <t>Canbus-Abgriff am Kombiinstrument
18-Pin-Stecker: 
Pin 9 Blau Can-High
Pin 18 Grün Can-Low</t>
  </si>
  <si>
    <t>B</t>
  </si>
  <si>
    <t>(W245)</t>
  </si>
  <si>
    <t>2005-2011</t>
  </si>
  <si>
    <t>Hupe-Relais: im Motorraum am Sicherungskasten  Sicherung 205 Kabel sw/gelb ist Hupe</t>
  </si>
  <si>
    <t>(W246)</t>
  </si>
  <si>
    <t>Klimabedienteil: 16-pol. MQS-Stecker Pin 4 CAN</t>
  </si>
  <si>
    <t xml:space="preserve">342DB05/0/KA; 34990016; </t>
  </si>
  <si>
    <t>C</t>
  </si>
  <si>
    <t>(W203)</t>
  </si>
  <si>
    <t>2000-2007</t>
  </si>
  <si>
    <t>Ab 2004
3614721</t>
  </si>
  <si>
    <t>W102.bin</t>
  </si>
  <si>
    <t>(W204)</t>
  </si>
  <si>
    <t>W101.bin</t>
  </si>
  <si>
    <t>(W205)</t>
  </si>
  <si>
    <t>Citan</t>
  </si>
  <si>
    <t>(W415)</t>
  </si>
  <si>
    <t>09/2012-</t>
  </si>
  <si>
    <t>342/RE01/0</t>
  </si>
  <si>
    <t>CLA</t>
  </si>
  <si>
    <t>Baureihe 117</t>
  </si>
  <si>
    <t>CLK</t>
  </si>
  <si>
    <t>(W208)</t>
  </si>
  <si>
    <t>1999-2003</t>
  </si>
  <si>
    <t>mit CAN am Radio,Radio: Audio 10 10poliger ISO</t>
  </si>
  <si>
    <t>(W209)</t>
  </si>
  <si>
    <t>2002-2010</t>
  </si>
  <si>
    <t>CLS</t>
  </si>
  <si>
    <t>(W218)</t>
  </si>
  <si>
    <t>(W219)</t>
  </si>
  <si>
    <t>E</t>
  </si>
  <si>
    <t>(W210)</t>
  </si>
  <si>
    <t>1995-2002</t>
  </si>
  <si>
    <t>(W211)</t>
  </si>
  <si>
    <t>(W212)</t>
  </si>
  <si>
    <t>2013-2016</t>
  </si>
  <si>
    <t>Modellpflege</t>
  </si>
  <si>
    <t>(W213)</t>
  </si>
  <si>
    <t>E-Cabrio</t>
  </si>
  <si>
    <t>(A207)</t>
  </si>
  <si>
    <t>E-Coupe</t>
  </si>
  <si>
    <t>(C207)</t>
  </si>
  <si>
    <t>G Professional</t>
  </si>
  <si>
    <t>(463)</t>
  </si>
  <si>
    <t>GL</t>
  </si>
  <si>
    <t>(X164)</t>
  </si>
  <si>
    <t>(X166)</t>
  </si>
  <si>
    <t>GLA</t>
  </si>
  <si>
    <t>(X156)</t>
  </si>
  <si>
    <t>GLC</t>
  </si>
  <si>
    <t>(X253)</t>
  </si>
  <si>
    <t>GLE</t>
  </si>
  <si>
    <t>(C292)</t>
  </si>
  <si>
    <t>GLK</t>
  </si>
  <si>
    <t>(X204)</t>
  </si>
  <si>
    <t>ML</t>
  </si>
  <si>
    <t>(W164)</t>
  </si>
  <si>
    <t>Falls Taxi Alarm 34990013 nicht funktioniert, kann Taxi Alarm 34990017 verwendet werden!</t>
  </si>
  <si>
    <t>(W166)</t>
  </si>
  <si>
    <t>R</t>
  </si>
  <si>
    <t>(W251)</t>
  </si>
  <si>
    <t>S</t>
  </si>
  <si>
    <t>(W220)</t>
  </si>
  <si>
    <t>Ausstattungsabhängig</t>
  </si>
  <si>
    <t>(W221)</t>
  </si>
  <si>
    <t>W(222)</t>
  </si>
  <si>
    <t>SL</t>
  </si>
  <si>
    <t>(R230)</t>
  </si>
  <si>
    <t>2001-2011</t>
  </si>
  <si>
    <t>Interface 347 4721 Stellung 5 (1010)</t>
  </si>
  <si>
    <t>(R231)</t>
  </si>
  <si>
    <t>SLK</t>
  </si>
  <si>
    <t>(R171)</t>
  </si>
  <si>
    <t>(R172)</t>
  </si>
  <si>
    <t>Sportcoupe</t>
  </si>
  <si>
    <t>(CL203)</t>
  </si>
  <si>
    <t>2000-2011</t>
  </si>
  <si>
    <t>Sprinter II</t>
  </si>
  <si>
    <t>(W906)</t>
  </si>
  <si>
    <t>Bei Radiovorbereitung ist ein Anntenen ISO Stecker am Fahrzeug verbaut HH 14.09.15 HH</t>
  </si>
  <si>
    <t>SDB02x</t>
  </si>
  <si>
    <t>Viano</t>
  </si>
  <si>
    <t>(W639)</t>
  </si>
  <si>
    <t>SDB01x</t>
  </si>
  <si>
    <t>Vito</t>
  </si>
  <si>
    <t>Standard</t>
  </si>
  <si>
    <t>W(447)</t>
  </si>
  <si>
    <t>Quadlock Stecker am Radio</t>
  </si>
  <si>
    <t>ISO-Stecker am Radio</t>
  </si>
  <si>
    <t>V-Klasse</t>
  </si>
  <si>
    <t>Mini</t>
  </si>
  <si>
    <t>R56</t>
  </si>
  <si>
    <t>F55, F56</t>
  </si>
  <si>
    <t>Mitsubishi</t>
  </si>
  <si>
    <t>ASX</t>
  </si>
  <si>
    <t>L200</t>
  </si>
  <si>
    <t>(KAOT)</t>
  </si>
  <si>
    <t>Lancer</t>
  </si>
  <si>
    <t>IIX Gen. (CYO)</t>
  </si>
  <si>
    <t>Outlander</t>
  </si>
  <si>
    <t>II Gen. (CW0W)</t>
  </si>
  <si>
    <t>III Gen. (Cwo)</t>
  </si>
  <si>
    <t>Pajero</t>
  </si>
  <si>
    <t>IV Gen. (V80)</t>
  </si>
  <si>
    <t>i-MiEV</t>
  </si>
  <si>
    <t>Nissan</t>
  </si>
  <si>
    <t>Cube</t>
  </si>
  <si>
    <t>III Gen. (Z12)</t>
  </si>
  <si>
    <t>C-3474272</t>
  </si>
  <si>
    <t>B-3414772</t>
  </si>
  <si>
    <t>Interstar</t>
  </si>
  <si>
    <t>H-3473002</t>
  </si>
  <si>
    <t>Juke</t>
  </si>
  <si>
    <t>Micra</t>
  </si>
  <si>
    <t>IV Gen. (K13)</t>
  </si>
  <si>
    <t>Murano</t>
  </si>
  <si>
    <t>II Gen. (Z51)</t>
  </si>
  <si>
    <t>Navara</t>
  </si>
  <si>
    <t>II. Gen (D22)</t>
  </si>
  <si>
    <t>1998-2004</t>
  </si>
  <si>
    <t>B-3414775</t>
  </si>
  <si>
    <t>H 3473002</t>
  </si>
  <si>
    <t>III Gen. (D40)</t>
  </si>
  <si>
    <t>bei LKF immer Fotos vom Stecker schicken lassen, da es unterschiedliche Stecker gibt.</t>
  </si>
  <si>
    <t>C-3474771</t>
  </si>
  <si>
    <t>B-3414771</t>
  </si>
  <si>
    <t>Note</t>
  </si>
  <si>
    <t>I Gen. (E11)</t>
  </si>
  <si>
    <t>CB 1</t>
  </si>
  <si>
    <t>B-3414774</t>
  </si>
  <si>
    <t>NV400</t>
  </si>
  <si>
    <t>NV200</t>
  </si>
  <si>
    <t>Pathfinder</t>
  </si>
  <si>
    <t>I.Gen (R50)</t>
  </si>
  <si>
    <t>1995-2004</t>
  </si>
  <si>
    <t>II Gen. (R51)</t>
  </si>
  <si>
    <t>Primastar</t>
  </si>
  <si>
    <t>Qashqai</t>
  </si>
  <si>
    <t>Qashqai+2</t>
  </si>
  <si>
    <t>X-Trail</t>
  </si>
  <si>
    <t>I Gen. (T30)</t>
  </si>
  <si>
    <t>2001-2007</t>
  </si>
  <si>
    <t>II Gen. (T31)</t>
  </si>
  <si>
    <t>2007-2014</t>
  </si>
  <si>
    <t>III Gen. (T32)</t>
  </si>
  <si>
    <t>350Z</t>
  </si>
  <si>
    <t>(Z33)</t>
  </si>
  <si>
    <t>Opel</t>
  </si>
  <si>
    <t>Agila</t>
  </si>
  <si>
    <t>(B)</t>
  </si>
  <si>
    <t>Antara</t>
  </si>
  <si>
    <t xml:space="preserve">Opel </t>
  </si>
  <si>
    <t>Astra</t>
  </si>
  <si>
    <t>(G)</t>
  </si>
  <si>
    <t>1998-2005</t>
  </si>
  <si>
    <t>keine orig Navigation</t>
  </si>
  <si>
    <t>B-3414749</t>
  </si>
  <si>
    <t>(H)</t>
  </si>
  <si>
    <t>OP150</t>
  </si>
  <si>
    <t>(J)</t>
  </si>
  <si>
    <t>SOP04x</t>
  </si>
  <si>
    <t>(K)</t>
  </si>
  <si>
    <t>ab 2008
C-3524041</t>
  </si>
  <si>
    <t>Combo</t>
  </si>
  <si>
    <t>(C)</t>
  </si>
  <si>
    <t>SOP03x</t>
  </si>
  <si>
    <t>(D)</t>
  </si>
  <si>
    <t>siehe Fiat Doblo II</t>
  </si>
  <si>
    <t>Corsa</t>
  </si>
  <si>
    <t>2000-2006</t>
  </si>
  <si>
    <t>OP02 ist Innenraum CAN am Radio OP03 ist Motor-CAN OBD Stecker</t>
  </si>
  <si>
    <t>332OP02KA</t>
  </si>
  <si>
    <t>B-3444733</t>
  </si>
  <si>
    <t>2007-2009</t>
  </si>
  <si>
    <t>Insignia</t>
  </si>
  <si>
    <t>(A)</t>
  </si>
  <si>
    <t>'2008-</t>
  </si>
  <si>
    <t>Karl</t>
  </si>
  <si>
    <t>Meriva</t>
  </si>
  <si>
    <t>Mokka</t>
  </si>
  <si>
    <t>Movano</t>
  </si>
  <si>
    <t>ab 2014
C-3524041</t>
  </si>
  <si>
    <t>Omega</t>
  </si>
  <si>
    <t>1994-2003</t>
  </si>
  <si>
    <t>Signum</t>
  </si>
  <si>
    <t>2003-2008</t>
  </si>
  <si>
    <t>Sintra</t>
  </si>
  <si>
    <t>1996-1999</t>
  </si>
  <si>
    <t>Vectra</t>
  </si>
  <si>
    <t>Vivaro</t>
  </si>
  <si>
    <t>O101.bin</t>
  </si>
  <si>
    <t>SOP02x</t>
  </si>
  <si>
    <t>(A) Facelift</t>
  </si>
  <si>
    <t>Zafira</t>
  </si>
  <si>
    <t>Taxi-Modul geht nich bei Fahrzeugen mit Start/Stop</t>
  </si>
  <si>
    <t>Peugeot</t>
  </si>
  <si>
    <t>2004-2006</t>
  </si>
  <si>
    <t>ACR-Wesel sagt geht auch mit JBL       Soundsystem</t>
  </si>
  <si>
    <t>2006-2008</t>
  </si>
  <si>
    <t>2000-2010</t>
  </si>
  <si>
    <t>2002-</t>
  </si>
  <si>
    <t>P101.bin</t>
  </si>
  <si>
    <t>Bipper</t>
  </si>
  <si>
    <t>II Gen. (250)</t>
  </si>
  <si>
    <t>3450041,3450042</t>
  </si>
  <si>
    <t>Expert</t>
  </si>
  <si>
    <t>Partner Tepee</t>
  </si>
  <si>
    <t>II Gen. / FL</t>
  </si>
  <si>
    <t>II Gen. / FL II</t>
  </si>
  <si>
    <t>RCZ</t>
  </si>
  <si>
    <t>Porsche</t>
  </si>
  <si>
    <t>996</t>
  </si>
  <si>
    <t>997</t>
  </si>
  <si>
    <t>991</t>
  </si>
  <si>
    <t>B-3444735</t>
  </si>
  <si>
    <t>B-3444435</t>
  </si>
  <si>
    <t>Boxster</t>
  </si>
  <si>
    <t>986</t>
  </si>
  <si>
    <t>987</t>
  </si>
  <si>
    <t>981</t>
  </si>
  <si>
    <t xml:space="preserve">Cayenne </t>
  </si>
  <si>
    <t>I (9PA)</t>
  </si>
  <si>
    <t>2002-2007</t>
  </si>
  <si>
    <t>PCM 2.0</t>
  </si>
  <si>
    <t>C-3474735</t>
  </si>
  <si>
    <t>Cayenne</t>
  </si>
  <si>
    <t>I (9PA) Facelift</t>
  </si>
  <si>
    <t>C-3474236</t>
  </si>
  <si>
    <t>Cayenne II</t>
  </si>
  <si>
    <t>II (92A)</t>
  </si>
  <si>
    <t>Cayman</t>
  </si>
  <si>
    <t>Macan</t>
  </si>
  <si>
    <t>3450265</t>
  </si>
  <si>
    <t>3404701</t>
  </si>
  <si>
    <t>3475802</t>
  </si>
  <si>
    <t>3674700</t>
  </si>
  <si>
    <t>Panamera</t>
  </si>
  <si>
    <t>970</t>
  </si>
  <si>
    <t>Renault</t>
  </si>
  <si>
    <t>Captur</t>
  </si>
  <si>
    <t>Clio</t>
  </si>
  <si>
    <t>I Gen. ( 57)</t>
  </si>
  <si>
    <t>1990-1998</t>
  </si>
  <si>
    <t>II Gen. ( B)</t>
  </si>
  <si>
    <t>1998-2009</t>
  </si>
  <si>
    <t>III Gen. ( R)</t>
  </si>
  <si>
    <t>IV Gen. (X98)</t>
  </si>
  <si>
    <t>mit TomTom
Navigation, RLINK</t>
  </si>
  <si>
    <t>Espace</t>
  </si>
  <si>
    <t>1984-1991</t>
  </si>
  <si>
    <t>1991-1997</t>
  </si>
  <si>
    <t>III Gen. (JE)</t>
  </si>
  <si>
    <t>1997-2002</t>
  </si>
  <si>
    <t>IV Gen. (Phase I/JK)</t>
  </si>
  <si>
    <t>IV Gen. (Phase II/JK)</t>
  </si>
  <si>
    <t>C-3474783</t>
  </si>
  <si>
    <t>IV Gen. (Phase III/JK)</t>
  </si>
  <si>
    <t>Fluence</t>
  </si>
  <si>
    <t>I Gen. (N16)</t>
  </si>
  <si>
    <t>II Gen. (B10)</t>
  </si>
  <si>
    <t xml:space="preserve">2005- </t>
  </si>
  <si>
    <t>Kadjar</t>
  </si>
  <si>
    <t>Kangoo</t>
  </si>
  <si>
    <t xml:space="preserve">I Gen. </t>
  </si>
  <si>
    <t>342RE01/0</t>
  </si>
  <si>
    <t>Koleos</t>
  </si>
  <si>
    <t>Laguna</t>
  </si>
  <si>
    <t>I Gen. ( Phase I/B56)</t>
  </si>
  <si>
    <t>1994-1998</t>
  </si>
  <si>
    <t>I Gen. ( Phase II/K56)</t>
  </si>
  <si>
    <t>1998-2001</t>
  </si>
  <si>
    <t>II Gen. (Phase I/G)</t>
  </si>
  <si>
    <t>II Gen. (Phase II/G)</t>
  </si>
  <si>
    <t>III Gen. (T)</t>
  </si>
  <si>
    <t>mit TomTom
Navigation</t>
  </si>
  <si>
    <t>C-3474285</t>
  </si>
  <si>
    <t>Latitude</t>
  </si>
  <si>
    <t>Master</t>
  </si>
  <si>
    <t>1981-1998</t>
  </si>
  <si>
    <t>1998-2002</t>
  </si>
  <si>
    <t>SRE03x</t>
  </si>
  <si>
    <t>Megane</t>
  </si>
  <si>
    <t>II Gen. (M)</t>
  </si>
  <si>
    <t>SRE01x</t>
  </si>
  <si>
    <t>III Gen. (Z)</t>
  </si>
  <si>
    <t>SRE02x</t>
  </si>
  <si>
    <t>Modus</t>
  </si>
  <si>
    <t>Phase II</t>
  </si>
  <si>
    <t xml:space="preserve">Phase II </t>
  </si>
  <si>
    <t>(Grand Modus)</t>
  </si>
  <si>
    <t>Scenic</t>
  </si>
  <si>
    <t>I Gen. (Phase I/JA)</t>
  </si>
  <si>
    <t>I Gen. (Phase II/JA)</t>
  </si>
  <si>
    <t>II Gen. (Phase I/JM)</t>
  </si>
  <si>
    <t>(Grand Scenic)</t>
  </si>
  <si>
    <t>II Gen. (Phase II/JM)</t>
  </si>
  <si>
    <t xml:space="preserve">III Gen. (Phase I/JZ) </t>
  </si>
  <si>
    <t xml:space="preserve">III Gen. (Phase II/JZ) </t>
  </si>
  <si>
    <t>Trafic</t>
  </si>
  <si>
    <t>1981-2001</t>
  </si>
  <si>
    <t>II Gen. (Phase I)</t>
  </si>
  <si>
    <t>II Gen. (Phase II)</t>
  </si>
  <si>
    <t>C- 3524041</t>
  </si>
  <si>
    <t>Twingo</t>
  </si>
  <si>
    <t>III. Gen.</t>
  </si>
  <si>
    <t>Twizy</t>
  </si>
  <si>
    <t>Wind</t>
  </si>
  <si>
    <t>Saab</t>
  </si>
  <si>
    <t>9-3</t>
  </si>
  <si>
    <t>I Gen. (YS3D)</t>
  </si>
  <si>
    <t>1998-2003</t>
  </si>
  <si>
    <t>II Gen. (YS3F)</t>
  </si>
  <si>
    <t>2002-2011</t>
  </si>
  <si>
    <t>9-5</t>
  </si>
  <si>
    <t>Scania</t>
  </si>
  <si>
    <t>R-Typ</t>
  </si>
  <si>
    <t>C-3474791</t>
  </si>
  <si>
    <t>2010-2012</t>
  </si>
  <si>
    <t>SEAT</t>
  </si>
  <si>
    <t>Alhambra I</t>
  </si>
  <si>
    <t>2000-2005</t>
  </si>
  <si>
    <t>(7M)</t>
  </si>
  <si>
    <t>Alhambra II</t>
  </si>
  <si>
    <t>(7N)</t>
  </si>
  <si>
    <t>342VW01/2</t>
  </si>
  <si>
    <t>weißes Display, Senderanzeige, PDC+Klima im Display</t>
  </si>
  <si>
    <t>Altea</t>
  </si>
  <si>
    <t>(5P)</t>
  </si>
  <si>
    <t>Altea XL</t>
  </si>
  <si>
    <t>Ateca</t>
  </si>
  <si>
    <t>VW45x</t>
  </si>
  <si>
    <t>Cordoba</t>
  </si>
  <si>
    <t>(6L)</t>
  </si>
  <si>
    <t>Exeo</t>
  </si>
  <si>
    <t>(3R)</t>
  </si>
  <si>
    <t>(3R) Facelift</t>
  </si>
  <si>
    <t>Ibiza</t>
  </si>
  <si>
    <t>(6J)</t>
  </si>
  <si>
    <t>(6J) Facelift</t>
  </si>
  <si>
    <t>Leon</t>
  </si>
  <si>
    <t>II (1P)</t>
  </si>
  <si>
    <t>V103.bin</t>
  </si>
  <si>
    <t>III (5F)</t>
  </si>
  <si>
    <t>VW05/0/ka geht am Klima Bedienteil HH</t>
  </si>
  <si>
    <t>Mii</t>
  </si>
  <si>
    <t>Toledo</t>
  </si>
  <si>
    <t>runde LKT</t>
  </si>
  <si>
    <t>KG</t>
  </si>
  <si>
    <t>Skoda</t>
  </si>
  <si>
    <t>Citigo</t>
  </si>
  <si>
    <t>Fabia</t>
  </si>
  <si>
    <t>(6Y)</t>
  </si>
  <si>
    <t>1999-2007</t>
  </si>
  <si>
    <t>II (5J)</t>
  </si>
  <si>
    <t>Fernbedienungs-Hebel</t>
  </si>
  <si>
    <t>mit Rolle</t>
  </si>
  <si>
    <t>III (NJ)</t>
  </si>
  <si>
    <t>Octavia</t>
  </si>
  <si>
    <t>I (1U)</t>
  </si>
  <si>
    <t>II (1Z)</t>
  </si>
  <si>
    <t>LKT</t>
  </si>
  <si>
    <t>2009-2012</t>
  </si>
  <si>
    <t>III (5E)</t>
  </si>
  <si>
    <t>Rapid</t>
  </si>
  <si>
    <t>34990050. laut FP  3450276 / 3450258.  B-3444755 geht CAR Akusik Dresden B-3444756 geht laut Hr. Ott</t>
  </si>
  <si>
    <t>Roomster</t>
  </si>
  <si>
    <t>(5J)</t>
  </si>
  <si>
    <t>Superb</t>
  </si>
  <si>
    <t xml:space="preserve"> I (3U)</t>
  </si>
  <si>
    <t>II (3T)</t>
  </si>
  <si>
    <t>III (3V)</t>
  </si>
  <si>
    <t>Yeti</t>
  </si>
  <si>
    <t>I (5L)</t>
  </si>
  <si>
    <t>II</t>
  </si>
  <si>
    <t>Smart</t>
  </si>
  <si>
    <t>forfour</t>
  </si>
  <si>
    <t>BR 454</t>
  </si>
  <si>
    <t>BR 453</t>
  </si>
  <si>
    <t>fortwo</t>
  </si>
  <si>
    <t>BR 450</t>
  </si>
  <si>
    <t>BR 451</t>
  </si>
  <si>
    <t xml:space="preserve">Smart </t>
  </si>
  <si>
    <t>Ssang Yong</t>
  </si>
  <si>
    <t>Actyon</t>
  </si>
  <si>
    <t>B-3414739</t>
  </si>
  <si>
    <t>Korando</t>
  </si>
  <si>
    <t xml:space="preserve"> IV Gen. ( C)</t>
  </si>
  <si>
    <t>Kyron</t>
  </si>
  <si>
    <t>Rexton</t>
  </si>
  <si>
    <t>C-3474795</t>
  </si>
  <si>
    <t>Rodius</t>
  </si>
  <si>
    <t>2004-2013</t>
  </si>
  <si>
    <t>Subaru</t>
  </si>
  <si>
    <t>Forester</t>
  </si>
  <si>
    <t>III. Gen. SH</t>
  </si>
  <si>
    <t>C-3474919</t>
  </si>
  <si>
    <t>B-3414719</t>
  </si>
  <si>
    <t>IV. Gen. SJ</t>
  </si>
  <si>
    <t>C-3524017</t>
  </si>
  <si>
    <t xml:space="preserve">Impreza </t>
  </si>
  <si>
    <t>(GR) III Gen.</t>
  </si>
  <si>
    <t>2011-2016</t>
  </si>
  <si>
    <t>IV Gen. FL</t>
  </si>
  <si>
    <t>Legacy</t>
  </si>
  <si>
    <t>BM/BR V Gen.</t>
  </si>
  <si>
    <t>ohne orig. Navigation</t>
  </si>
  <si>
    <t>B-3414717</t>
  </si>
  <si>
    <t>'2012-2015</t>
  </si>
  <si>
    <t>mit orig. Navigation</t>
  </si>
  <si>
    <t>Zweite Widerstandsleitung muss beim 
Kabelsatz umgepinnt werden!!! → X:\fahrzeugdaten\Subaru\Legacy (ab 09)\Umbau C-3414215 für Legacy mit orig. Navi.jpg</t>
  </si>
  <si>
    <t xml:space="preserve">VI Gen. </t>
  </si>
  <si>
    <t>Outback</t>
  </si>
  <si>
    <t>XV</t>
  </si>
  <si>
    <t>B-3414715</t>
  </si>
  <si>
    <t>Suzuki</t>
  </si>
  <si>
    <t>Alto</t>
  </si>
  <si>
    <t xml:space="preserve">VII Gen. </t>
  </si>
  <si>
    <t>Kizashi</t>
  </si>
  <si>
    <t>mit 3xTel Tasten</t>
  </si>
  <si>
    <t>C-3474787</t>
  </si>
  <si>
    <t>Splash</t>
  </si>
  <si>
    <t>Swift</t>
  </si>
  <si>
    <t>(MZ/EZ)</t>
  </si>
  <si>
    <t>(FZ/NZ)</t>
  </si>
  <si>
    <t>SX4</t>
  </si>
  <si>
    <t>Grand Vitara</t>
  </si>
  <si>
    <t>Tesla</t>
  </si>
  <si>
    <t>Model S</t>
  </si>
  <si>
    <t>Klemme 15 geht laut Kunden nicht mehr.
Vermutung: Tesla kann OTA-update für CAN-Protokoll ausführen. Evtl. sind Daten nicht mehr aktuell</t>
  </si>
  <si>
    <t>Toyota</t>
  </si>
  <si>
    <t>Auris</t>
  </si>
  <si>
    <t>(E150)</t>
  </si>
  <si>
    <t>C-3474748</t>
  </si>
  <si>
    <t>(E180)</t>
  </si>
  <si>
    <t>(E180) FL</t>
  </si>
  <si>
    <t>Avensis</t>
  </si>
  <si>
    <t>II Gen. (T25)</t>
  </si>
  <si>
    <t>3470003
(nur LKF)</t>
  </si>
  <si>
    <t>III Gen. (T27)</t>
  </si>
  <si>
    <t>Hilux</t>
  </si>
  <si>
    <t>7. Gen.</t>
  </si>
  <si>
    <t>8. Gen</t>
  </si>
  <si>
    <t>iQ</t>
  </si>
  <si>
    <t>Land Cruiser</t>
  </si>
  <si>
    <t>J15</t>
  </si>
  <si>
    <t>falls kein Speedsignal bei TY02 vorhanden, muss TY03 verwendet werden</t>
  </si>
  <si>
    <t>Land Cruiser V8</t>
  </si>
  <si>
    <t>J20</t>
  </si>
  <si>
    <t>Prius</t>
  </si>
  <si>
    <t>II Gen. (NHW20)</t>
  </si>
  <si>
    <t>III Gen. (ZVW30)</t>
  </si>
  <si>
    <t>III+</t>
  </si>
  <si>
    <t>Rav4</t>
  </si>
  <si>
    <t>B-3414748 laut FP</t>
  </si>
  <si>
    <t xml:space="preserve">III Gen. </t>
  </si>
  <si>
    <t>III Gen. FL</t>
  </si>
  <si>
    <t>Rush</t>
  </si>
  <si>
    <t>Urban Cruiser</t>
  </si>
  <si>
    <t>Verso</t>
  </si>
  <si>
    <t>Yaris</t>
  </si>
  <si>
    <t>II Gen. (XP9)</t>
  </si>
  <si>
    <t>III Gen. (XP13)</t>
  </si>
  <si>
    <t>Volvo</t>
  </si>
  <si>
    <t>C30</t>
  </si>
  <si>
    <t>(M)</t>
  </si>
  <si>
    <t>C70</t>
  </si>
  <si>
    <t>S40</t>
  </si>
  <si>
    <t>S60</t>
  </si>
  <si>
    <t>I Gen. (P2)</t>
  </si>
  <si>
    <t>2000-2009</t>
  </si>
  <si>
    <t>C-3474765</t>
  </si>
  <si>
    <t>II Gen. (Y20)</t>
  </si>
  <si>
    <t>II Gen. Facelift</t>
  </si>
  <si>
    <t>S80</t>
  </si>
  <si>
    <t>I Gen. (TS)</t>
  </si>
  <si>
    <t>II Gen. (AS)</t>
  </si>
  <si>
    <t>S90</t>
  </si>
  <si>
    <t>V40</t>
  </si>
  <si>
    <t>V50</t>
  </si>
  <si>
    <t>V60</t>
  </si>
  <si>
    <t>V70</t>
  </si>
  <si>
    <t>(P26)</t>
  </si>
  <si>
    <t>(P24)</t>
  </si>
  <si>
    <t>V90</t>
  </si>
  <si>
    <t>XC60</t>
  </si>
  <si>
    <t>XC70</t>
  </si>
  <si>
    <t>(P2)</t>
  </si>
  <si>
    <t>nur P2 mit CAN</t>
  </si>
  <si>
    <t>XC90</t>
  </si>
  <si>
    <t>Volvo Truck</t>
  </si>
  <si>
    <t>FH</t>
  </si>
  <si>
    <t>2002-2013</t>
  </si>
  <si>
    <t>B-3474768</t>
  </si>
  <si>
    <t>C-3474268</t>
  </si>
  <si>
    <t>VW</t>
  </si>
  <si>
    <t>Amarok</t>
  </si>
  <si>
    <t>2010-2016</t>
  </si>
  <si>
    <t>B-3450031</t>
  </si>
  <si>
    <t>Beetle</t>
  </si>
  <si>
    <t>5C</t>
  </si>
  <si>
    <t>Bora</t>
  </si>
  <si>
    <t>2000-2003</t>
  </si>
  <si>
    <t>Caddy</t>
  </si>
  <si>
    <t>III (2K)</t>
  </si>
  <si>
    <t>Crafter</t>
  </si>
  <si>
    <t>s. Mercedes Sprinter</t>
  </si>
  <si>
    <t>Eos</t>
  </si>
  <si>
    <t>(1F)</t>
  </si>
  <si>
    <t>Fox</t>
  </si>
  <si>
    <t>Golf 4</t>
  </si>
  <si>
    <t>Golf 5</t>
  </si>
  <si>
    <t>(1K)</t>
  </si>
  <si>
    <t>SVW02x</t>
  </si>
  <si>
    <t>Golf 6</t>
  </si>
  <si>
    <t>SVW01x</t>
  </si>
  <si>
    <t>Golf 7</t>
  </si>
  <si>
    <t>AU</t>
  </si>
  <si>
    <t>Jetta 4</t>
  </si>
  <si>
    <t>1JM</t>
  </si>
  <si>
    <t>Jetta 5</t>
  </si>
  <si>
    <t>1K5</t>
  </si>
  <si>
    <t>Jetta 6</t>
  </si>
  <si>
    <t>New Beetle</t>
  </si>
  <si>
    <t>I (9C)</t>
  </si>
  <si>
    <t>1997-2010</t>
  </si>
  <si>
    <t>Passat</t>
  </si>
  <si>
    <t>(3BG) B5</t>
  </si>
  <si>
    <t>3444755er Interface und das Kabel C-3444203; u.U. CAN Abgriff am 26 pol. TE Stecker</t>
  </si>
  <si>
    <t>(3C) B6</t>
  </si>
  <si>
    <t>B7</t>
  </si>
  <si>
    <t>B8 (3G)</t>
  </si>
  <si>
    <t>332VW05 +
C-3444256</t>
  </si>
  <si>
    <t>Passat CC</t>
  </si>
  <si>
    <t xml:space="preserve">(3C)  </t>
  </si>
  <si>
    <t>Phaeton</t>
  </si>
  <si>
    <t>(3D)</t>
  </si>
  <si>
    <t>Laut KD 18161 R-Box auch ab 10/2008</t>
  </si>
  <si>
    <t>Polo</t>
  </si>
  <si>
    <t>(9N)</t>
  </si>
  <si>
    <t>(9N3)</t>
  </si>
  <si>
    <t>(6R)</t>
  </si>
  <si>
    <t>2009-2014</t>
  </si>
  <si>
    <t>Scirocco</t>
  </si>
  <si>
    <t>(13)</t>
  </si>
  <si>
    <t>Sharan</t>
  </si>
  <si>
    <t>II (7N)</t>
  </si>
  <si>
    <t>T5</t>
  </si>
  <si>
    <t>(7H)</t>
  </si>
  <si>
    <t>V102.bin</t>
  </si>
  <si>
    <t xml:space="preserve">DT-Replace Uhr-Zeit-Einstellung geht nicht </t>
  </si>
  <si>
    <t>T6</t>
  </si>
  <si>
    <t>Tiguan</t>
  </si>
  <si>
    <t>(5N)</t>
  </si>
  <si>
    <t>Touareg</t>
  </si>
  <si>
    <t>I (7L) C1</t>
  </si>
  <si>
    <t>II (7P) C2</t>
  </si>
  <si>
    <t>V101.bin</t>
  </si>
  <si>
    <t>3470026 beschränkte Funktion</t>
  </si>
  <si>
    <t>Touran</t>
  </si>
  <si>
    <t xml:space="preserve">(1T) </t>
  </si>
  <si>
    <t>(1T) Facelift</t>
  </si>
  <si>
    <t>Up</t>
  </si>
  <si>
    <r>
      <t>x</t>
    </r>
    <r>
      <rPr>
        <sz val="6"/>
        <color indexed="8"/>
        <rFont val="Calibri"/>
        <family val="2"/>
      </rPr>
      <t>1)</t>
    </r>
  </si>
  <si>
    <t>falls vom Fahrzeug unterstützt</t>
  </si>
  <si>
    <r>
      <t>x</t>
    </r>
    <r>
      <rPr>
        <sz val="7"/>
        <color indexed="8"/>
        <rFont val="Calibri"/>
        <family val="2"/>
      </rPr>
      <t>2)</t>
    </r>
  </si>
  <si>
    <t>Umschaltbar am IF (nur parking oder mute)</t>
  </si>
  <si>
    <r>
      <t>x</t>
    </r>
    <r>
      <rPr>
        <vertAlign val="subscript"/>
        <sz val="10"/>
        <rFont val="Arial"/>
        <family val="2"/>
      </rPr>
      <t>3)</t>
    </r>
  </si>
  <si>
    <t>ohne NAV-Amp (3670013)</t>
  </si>
  <si>
    <r>
      <t>x</t>
    </r>
    <r>
      <rPr>
        <vertAlign val="subscript"/>
        <sz val="10"/>
        <rFont val="Arial"/>
        <family val="2"/>
      </rPr>
      <t>4)</t>
    </r>
  </si>
  <si>
    <t>Ohne 24/12V Wandler (3670014)</t>
  </si>
  <si>
    <t>IF 34447.. + 34147..</t>
  </si>
  <si>
    <t>Artikelnummer</t>
  </si>
  <si>
    <t>Bemerkung</t>
  </si>
  <si>
    <t>C-341 4101</t>
  </si>
  <si>
    <t>Pioneer</t>
  </si>
  <si>
    <t>C-341 4102</t>
  </si>
  <si>
    <t>Blaupunkt 1</t>
  </si>
  <si>
    <t>C-341 4104</t>
  </si>
  <si>
    <t>Kenwood</t>
  </si>
  <si>
    <t>C-341 4105</t>
  </si>
  <si>
    <t>Alpine</t>
  </si>
  <si>
    <t>C-341 4107</t>
  </si>
  <si>
    <t>Sony/ Phonocar</t>
  </si>
  <si>
    <t>C-341 4124</t>
  </si>
  <si>
    <t>Eclipse/ Snooper</t>
  </si>
  <si>
    <t>C-341 4127</t>
  </si>
  <si>
    <t>Clarion</t>
  </si>
  <si>
    <t>C-341 4128</t>
  </si>
  <si>
    <t>JVC 3,5mm Klinke</t>
  </si>
  <si>
    <t>C-341 4129</t>
  </si>
  <si>
    <t>Zenec II</t>
  </si>
  <si>
    <t>C-341 4130</t>
  </si>
  <si>
    <t xml:space="preserve">Zenec </t>
  </si>
  <si>
    <t>C-341 4131</t>
  </si>
  <si>
    <t>Macrom</t>
  </si>
  <si>
    <t>C-341 4132</t>
  </si>
  <si>
    <t>Blaupunkt 2</t>
  </si>
  <si>
    <t>C-341 4134</t>
  </si>
  <si>
    <t>Axion II</t>
  </si>
  <si>
    <t>C-341 4135</t>
  </si>
  <si>
    <t>Axion/ Grundig</t>
  </si>
  <si>
    <t>C-341 4136</t>
  </si>
  <si>
    <t>Audiovox</t>
  </si>
  <si>
    <t>C-341 4140</t>
  </si>
  <si>
    <t>JVC Rundstecker</t>
  </si>
  <si>
    <t>IF 34747..</t>
  </si>
  <si>
    <t>C-347 4101</t>
  </si>
  <si>
    <t xml:space="preserve">Pioneer, Grundig, Sony, Delphi, </t>
  </si>
  <si>
    <t>C-347 4102</t>
  </si>
  <si>
    <t>Blaupunkt</t>
  </si>
  <si>
    <t>C-347 4103</t>
  </si>
  <si>
    <t>Kenwood mit Vehicle Display Interface</t>
  </si>
  <si>
    <t>C-347 4104</t>
  </si>
  <si>
    <t>Kenwood, Panasonic, Zenec, JVC Rundstecker</t>
  </si>
  <si>
    <t>C-347 4105</t>
  </si>
  <si>
    <t>Alpine, Clarion, JVC 3,5mm Klinke</t>
  </si>
  <si>
    <t>C-347 4111</t>
  </si>
  <si>
    <t>Becker mini Iso</t>
  </si>
  <si>
    <t>C-347 4124</t>
  </si>
  <si>
    <t>Eclipse, Snooper</t>
  </si>
  <si>
    <t>URL-Pfad:</t>
  </si>
  <si>
    <t>http://www.speedsignal.de/Dokus/</t>
  </si>
  <si>
    <t>Art. Nr.</t>
  </si>
  <si>
    <t>Funktion</t>
  </si>
  <si>
    <t>R.I.C.C.I</t>
  </si>
  <si>
    <t>B-3404700</t>
  </si>
  <si>
    <t>Klemme 15 s/r</t>
  </si>
  <si>
    <t xml:space="preserve">R.I.C.C.I </t>
  </si>
  <si>
    <t>Alpine&lt; VW</t>
  </si>
  <si>
    <t>B-3404451</t>
  </si>
  <si>
    <t>V-Booster</t>
  </si>
  <si>
    <t>B-3670028</t>
  </si>
  <si>
    <t>Spannungsbooster für KL15, KL 30</t>
  </si>
  <si>
    <t>Sigi</t>
  </si>
  <si>
    <t>Signal Teiler</t>
  </si>
  <si>
    <t xml:space="preserve">ER70 </t>
  </si>
  <si>
    <t>B-340116</t>
  </si>
  <si>
    <t>Elektronisches Relaise</t>
  </si>
  <si>
    <t>IR-Interface</t>
  </si>
  <si>
    <t>B-3414705</t>
  </si>
  <si>
    <t xml:space="preserve">Infrarot LKF Interface </t>
  </si>
  <si>
    <t>CB1</t>
  </si>
  <si>
    <t>Speed</t>
  </si>
  <si>
    <t>allgemein</t>
  </si>
  <si>
    <t>CAR-HIFI</t>
  </si>
  <si>
    <t>Sonderfahrzeugbau</t>
  </si>
  <si>
    <t xml:space="preserve">Speed 3600 Pulse/km, KA Pulse sh. Datenblatt, Rückwärtsgang, ACC, Licht </t>
  </si>
  <si>
    <t>-</t>
  </si>
  <si>
    <t>Speed (wie ADIF KA), Drehzahl, Zündung, Ladekontrolle</t>
  </si>
  <si>
    <t>Speed (3600 Pulse/km), R, ACC, PDC Ausgang = an, wenn &lt; 11 km/h</t>
  </si>
  <si>
    <t>wie ADIF, 5. Ausgang Mute der orig. FSE</t>
  </si>
  <si>
    <t>Speed (Pulse), R, Zündung, Nebelschluß-, Stand-, Abblend-, Fern-, Blinker links, rechts, Bremslicht</t>
  </si>
  <si>
    <t>anstatt Nebelschlußlicht Heckklappe offen Signal</t>
  </si>
  <si>
    <t>wie Signalbox, anstatt Nebelschlußlicht Ladekontrolle</t>
  </si>
  <si>
    <t>wie Signalbox, anstatt Nebelschlußlicht Warnblinkersignal</t>
  </si>
  <si>
    <t>Speed, R, Zündung, Nebelschlußlicht, 4 Türen, Motorhaube, Heckdeckel</t>
  </si>
  <si>
    <t>speed (3600 Pulse/km), R, Licht, Handbremse/Mute, LKF</t>
  </si>
  <si>
    <t>LKF</t>
  </si>
  <si>
    <t>speed (3600 Pulse/km), R, Licht, Handbremse/Mute, LKF, Display</t>
  </si>
  <si>
    <t>Ausgabe der originalen PDC-Töne</t>
  </si>
  <si>
    <t>ACC, Beleuchtung</t>
  </si>
  <si>
    <t>Pre15, Beleuchtung</t>
  </si>
  <si>
    <t>serielle Daten gem. Protokoll und analoge Zündung</t>
  </si>
  <si>
    <t>Radpulse, Zündung, Dachzeichenansteuerung, 2 Tastereingänge</t>
  </si>
  <si>
    <t>wie Taxi, auslösen/rücksetzen mit nur 1 Taster</t>
  </si>
  <si>
    <t>wie Taxi, Beifahrersitzkontakt anstatt Ausgang voller Alarm</t>
  </si>
  <si>
    <t>ACC, Teltaste pot. frei</t>
  </si>
  <si>
    <t>Rückbau Digitaler Tachograph</t>
  </si>
  <si>
    <t>pot. frei Kontakt bei Telefon, ACC</t>
  </si>
  <si>
    <t>Steuerung der Lüftungsklappen und Gebläsestufe</t>
  </si>
  <si>
    <t>Aktivierung WB mit öffnen der Heckklappe</t>
  </si>
  <si>
    <t>Infos Vertrieb</t>
  </si>
  <si>
    <t>ADIF</t>
  </si>
  <si>
    <r>
      <t xml:space="preserve">ADIF </t>
    </r>
    <r>
      <rPr>
        <sz val="12"/>
        <rFont val="Arial"/>
        <family val="2"/>
      </rPr>
      <t>Plug&amp;Play
Kabelsatz</t>
    </r>
  </si>
  <si>
    <t>ADIF ZI</t>
  </si>
  <si>
    <t>ADIF PD</t>
  </si>
  <si>
    <t>ADIF M</t>
  </si>
  <si>
    <t>Speed-
Connect</t>
  </si>
  <si>
    <t>Signalbox</t>
  </si>
  <si>
    <t>Signalbox H</t>
  </si>
  <si>
    <t>Signalbox V</t>
  </si>
  <si>
    <t>Signalbox W</t>
  </si>
  <si>
    <t>Signalbox
T</t>
  </si>
  <si>
    <t>Gruppe</t>
  </si>
  <si>
    <t>Lekrad-fernbedienungs-
Interface</t>
  </si>
  <si>
    <t>URI</t>
  </si>
  <si>
    <t>URI-Kabel</t>
  </si>
  <si>
    <t>URI 2</t>
  </si>
  <si>
    <t>RC3/RC5</t>
  </si>
  <si>
    <t>Lenkrad+PDC Interface mit Piezo</t>
  </si>
  <si>
    <t>Alpine
Disp. IF</t>
  </si>
  <si>
    <t>Radio-Blende</t>
  </si>
  <si>
    <t>Antennenadapter</t>
  </si>
  <si>
    <t>PDC-IF</t>
  </si>
  <si>
    <t>Orig. Rüchfahr- kamera Anbindung</t>
  </si>
  <si>
    <t>RICCI</t>
  </si>
  <si>
    <t>PRE15</t>
  </si>
  <si>
    <t>can2com</t>
  </si>
  <si>
    <t>Taxi</t>
  </si>
  <si>
    <t>Taxi -1</t>
  </si>
  <si>
    <t>Taxi -2</t>
  </si>
  <si>
    <t>PhICI</t>
  </si>
  <si>
    <t>DT Replace</t>
  </si>
  <si>
    <t>OBI</t>
  </si>
  <si>
    <t>Standheizungs-
Interface</t>
  </si>
  <si>
    <t>Heckklappenmodul</t>
  </si>
  <si>
    <t>Carla</t>
  </si>
  <si>
    <t>MickiFleet</t>
  </si>
  <si>
    <t>MWS
Run-Lock</t>
  </si>
  <si>
    <t>Start-Stop-
Memory</t>
  </si>
  <si>
    <t>Sonstige</t>
  </si>
  <si>
    <t>spanisch</t>
  </si>
  <si>
    <t>generalmente</t>
  </si>
  <si>
    <t>vehiculo especial</t>
  </si>
  <si>
    <t>cual ADIF, 5. salida mute de original equipo de manos libres</t>
  </si>
  <si>
    <t>En vez de faro antiniebla senal – senal porton trasero abierto</t>
  </si>
  <si>
    <t>cual signalbox, en vez de faro antiniebla senal – intermitentes de emergencia senal</t>
  </si>
  <si>
    <t>ignicion, iluminacion</t>
  </si>
  <si>
    <t>Pre15, iluminacion</t>
  </si>
  <si>
    <t>la rueda pulso, ignicion, circunflejo control, 2 palpo  entrada</t>
  </si>
  <si>
    <t>cual taxi, desempeno/reponer algo  con solo  un palpo</t>
  </si>
  <si>
    <t>Cual taxi, asiento del acompanante  contacto en vez en salida completo alarma .</t>
  </si>
  <si>
    <t>desmantelamiento digital tacografo</t>
  </si>
  <si>
    <t>Activacion intermitentes de emergencia una vez abrirse porton trasero</t>
  </si>
  <si>
    <r>
      <t xml:space="preserve">ADIF </t>
    </r>
    <r>
      <rPr>
        <sz val="12"/>
        <rFont val="Arial"/>
        <family val="2"/>
      </rPr>
      <t>Plug&amp;Play</t>
    </r>
  </si>
  <si>
    <t>la categoria</t>
  </si>
  <si>
    <t>encomienda
LKF IF</t>
  </si>
  <si>
    <t>englisch</t>
  </si>
  <si>
    <t>general</t>
  </si>
  <si>
    <t>special purpose vehicle</t>
  </si>
  <si>
    <t>speed 3600 pulse/kilometer, reverse gear, ignition, illumination</t>
  </si>
  <si>
    <t>speed (same as ADIF KA), rotation speed, ignition, charge control</t>
  </si>
  <si>
    <t>speed (3600 pulse/kilometer), reverse gear, ignition, PDC output = on,if &lt; 11 km/h</t>
  </si>
  <si>
    <t>like ADIF, 5. output mute of original hands free kit</t>
  </si>
  <si>
    <t>speed (pulse), reverse gear, ignition, rear fog lamp, parking light, low beam, high beam, flasher left, right, brake light</t>
  </si>
  <si>
    <t xml:space="preserve">Instead of rear fog lamp,  signal tailgate open </t>
  </si>
  <si>
    <t xml:space="preserve">like signalbox, instead of rear fog lamp – charge control </t>
  </si>
  <si>
    <t>like signalbox, instead of rear fog light signal -  hazard lights signal</t>
  </si>
  <si>
    <t>speed (3600 pulse/kilometer), reverse gear, illumination, handbrake/mute, steering wheel  control</t>
  </si>
  <si>
    <t>ignition, illumination</t>
  </si>
  <si>
    <t>Pre15, illumination</t>
  </si>
  <si>
    <t>serial data,  pursuant to protocoll and analoge ignition</t>
  </si>
  <si>
    <t>wheel pulse, ignition, roof top sign control, 2 buttoninputs</t>
  </si>
  <si>
    <t>like taxi, triggering/resetting with only one button</t>
  </si>
  <si>
    <t>like Taxi, passenger seat contact instead of output full alarm.</t>
  </si>
  <si>
    <t>dismantling digital tachograph</t>
  </si>
  <si>
    <t>pot. free contact phone, ignition</t>
  </si>
  <si>
    <t xml:space="preserve">Activation hazard lights byopening the tailgate </t>
  </si>
  <si>
    <t>information sales</t>
  </si>
  <si>
    <t>Empfehlung
LKF IF</t>
  </si>
  <si>
    <t>Start-Stopp-Memory</t>
  </si>
  <si>
    <t>französisch</t>
  </si>
  <si>
    <t>italienisch</t>
  </si>
  <si>
    <r>
      <t xml:space="preserve">D+ INTERFACE
velocidad (cual ADIF KA), velocidad de giro, ignicion, </t>
    </r>
    <r>
      <rPr>
        <b/>
        <sz val="9"/>
        <color indexed="16"/>
        <rFont val="Arial"/>
        <family val="2"/>
      </rPr>
      <t xml:space="preserve"> </t>
    </r>
    <r>
      <rPr>
        <b/>
        <sz val="9"/>
        <color indexed="8"/>
        <rFont val="Arial"/>
        <family val="2"/>
      </rPr>
      <t>control de carga</t>
    </r>
  </si>
  <si>
    <t>wie Signalbox, anstatt Nebelschlußlicht Heckklappe offen Signal</t>
  </si>
  <si>
    <t>MANOS LIBRES
pot. franco contactotelefono, ignicion</t>
  </si>
  <si>
    <t>Puerta Abierta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</si>
  <si>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</si>
  <si>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INFORMACION EN VIVO KFZ
serial datos (RS232),  de acuerdo con el expediente mas analogia ignicion</t>
  </si>
  <si>
    <t>INTERFAZ DEL VOLANTE DEL VEHICULO
velocidad (3600 pulso/kilometro), marcha atras, iluminacion, freno de mano/mute, volante telecomando</t>
  </si>
  <si>
    <t>Memoria Start-Stop</t>
  </si>
  <si>
    <t>Alarma para Taxis</t>
  </si>
  <si>
    <t>SPEED INTERFACE
velocidad, 3600 pulso/kilómetro, marcha atras, ignicion, iluminacion
*ka: taximetro</t>
  </si>
  <si>
    <t>velocidad,  3600 pulso/kilometro, marcha atras, ignicion, asistente de aparcamiento output = on, cuando &lt; 11 km/h</t>
  </si>
  <si>
    <t>velocidad (pulso), marcha atras, ignicion, antinieblas, trasero, luz de estacionamiento lateral, las cortas, luz largas, el intermitente – izquierdo, derecho, luz de frenado</t>
  </si>
  <si>
    <t>velocidad,  3600 Pulse/km, marcha atras, , luz, freno de mano, Mute, Interfaz del volante del vehiculo</t>
  </si>
  <si>
    <t>emision del sonido original del PDC</t>
  </si>
  <si>
    <t>control de aleta de ventilación y del soplador</t>
  </si>
  <si>
    <t>informacion para la distribucion</t>
  </si>
  <si>
    <t>grupo</t>
  </si>
  <si>
    <t>Blenda del Radio</t>
  </si>
  <si>
    <t>Adaptor para Antennas</t>
  </si>
  <si>
    <t>connecion de cámara de visión trasera</t>
  </si>
  <si>
    <t>Interfaz para el pre-calentador</t>
  </si>
  <si>
    <t>Deutsch</t>
  </si>
  <si>
    <t>2007-2016</t>
  </si>
  <si>
    <t>2006-2015</t>
  </si>
  <si>
    <t>XE</t>
  </si>
  <si>
    <t>F-Pace</t>
  </si>
  <si>
    <t>X761</t>
  </si>
  <si>
    <t>X760</t>
  </si>
  <si>
    <t>B-3546610</t>
  </si>
  <si>
    <t>Tucson</t>
  </si>
  <si>
    <t>-2003</t>
  </si>
  <si>
    <t>Keyless</t>
  </si>
  <si>
    <t>2006-2016</t>
  </si>
  <si>
    <t>TGE</t>
  </si>
  <si>
    <t>siehe VW Crafter</t>
  </si>
  <si>
    <t>Sprinter</t>
  </si>
  <si>
    <t>2006-2017</t>
  </si>
  <si>
    <t>2018-</t>
  </si>
  <si>
    <t>Transit Custom</t>
  </si>
  <si>
    <t>Tourneo Custom</t>
  </si>
  <si>
    <t>mit OBD Steuergerät, Euro 6</t>
  </si>
  <si>
    <t>2013-2017</t>
  </si>
  <si>
    <t>B-3444736</t>
  </si>
  <si>
    <t>Signalbox
ABH</t>
  </si>
  <si>
    <t>Handbremse, R, Zündung, Warnblinker, Türkontakt vorne, hinten , D+, Heckklappe, Speed</t>
  </si>
  <si>
    <t>cual signalbox, en vez de  faro antiniebla senal – control de carga</t>
  </si>
  <si>
    <t>velocidad, marcha atras, ignicion, delantera y trasera puertas, tapa del maletero, control de carga, intermitentes de emergencia senal, freno de mano</t>
  </si>
  <si>
    <t>speed, reverse gear, ignition, front doors, rear doors, trunk lid, handbrake, charge control, hazard light</t>
  </si>
  <si>
    <t>Fullback</t>
  </si>
  <si>
    <t>Talisman</t>
  </si>
  <si>
    <t>Infiniti</t>
  </si>
  <si>
    <t>Q30</t>
  </si>
  <si>
    <t>3450294-W</t>
  </si>
  <si>
    <t>3450295-W</t>
  </si>
  <si>
    <t>Edge</t>
  </si>
  <si>
    <t>F52</t>
  </si>
  <si>
    <t>2011-2018</t>
  </si>
  <si>
    <t>IV Gen. (D231)</t>
  </si>
  <si>
    <t>Talento</t>
  </si>
  <si>
    <t>baugleich Renault Traffic (2014-)</t>
  </si>
  <si>
    <t>9/2011-</t>
  </si>
  <si>
    <t>2014-2017</t>
  </si>
  <si>
    <t>VI 2G (AW)</t>
  </si>
  <si>
    <t>Plattform MQB-A0</t>
  </si>
  <si>
    <t>T-Roc</t>
  </si>
  <si>
    <t>(A1)</t>
  </si>
  <si>
    <t>Optima</t>
  </si>
  <si>
    <t>JF</t>
  </si>
  <si>
    <t>2012-2017</t>
  </si>
  <si>
    <t>mit weißem OBD Stecker</t>
  </si>
  <si>
    <t>siehe Sonstige</t>
  </si>
  <si>
    <t>I Gen (Y20)</t>
  </si>
  <si>
    <t>2013-2018</t>
  </si>
  <si>
    <t>ProAce</t>
  </si>
  <si>
    <t>Arteon</t>
  </si>
  <si>
    <t>(3H)</t>
  </si>
  <si>
    <t>(1J)</t>
  </si>
  <si>
    <t>Adam</t>
  </si>
  <si>
    <t>Daily VI</t>
  </si>
  <si>
    <t>LKF mit Delphi DAB Radio</t>
  </si>
  <si>
    <t>2012-2018</t>
  </si>
  <si>
    <t xml:space="preserve">Mercedes </t>
  </si>
  <si>
    <t>(W177)</t>
  </si>
  <si>
    <t>I Gen. (KE)</t>
  </si>
  <si>
    <t>2011-2017</t>
  </si>
  <si>
    <t>II Gen (KF)</t>
  </si>
  <si>
    <t>06/2012-10/2014</t>
  </si>
  <si>
    <t>10/2014-</t>
  </si>
  <si>
    <t>Model X</t>
  </si>
  <si>
    <t>09/2015-</t>
  </si>
  <si>
    <t>Eurocargo</t>
  </si>
  <si>
    <t>VIII 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</si>
</sst>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2">
    <font>
      <sz val="10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sz val="10"/>
      <name val="Mangal"/>
      <family val="2"/>
    </font>
    <font>
      <sz val="11"/>
      <color indexed="8"/>
      <name val="Calibri"/>
      <family val="2"/>
    </font>
    <font>
      <b/>
      <sz val="32"/>
      <color indexed="8"/>
      <name val="Arial"/>
      <family val="2"/>
    </font>
    <font>
      <b/>
      <sz val="32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10"/>
      <color indexed="16"/>
      <name val="Calibri"/>
      <family val="2"/>
    </font>
    <font>
      <sz val="10"/>
      <color indexed="40"/>
      <name val="Calibri"/>
      <family val="2"/>
    </font>
    <font>
      <sz val="10"/>
      <color indexed="44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62"/>
      <name val="Calibri"/>
      <family val="2"/>
    </font>
    <font>
      <sz val="6"/>
      <color indexed="8"/>
      <name val="Calibri"/>
      <family val="2"/>
    </font>
    <font>
      <sz val="7"/>
      <color indexed="8"/>
      <name val="Calibri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28"/>
      <color indexed="15"/>
      <name val="Arial"/>
      <family val="2"/>
    </font>
    <font>
      <b/>
      <sz val="9"/>
      <color indexed="16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24"/>
      <color indexed="8"/>
      <name val="Calibri"/>
      <family val="2"/>
    </font>
    <font>
      <u/>
      <sz val="10"/>
      <color theme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17"/>
        <bgColor indexed="21"/>
      </patternFill>
    </fill>
    <fill>
      <patternFill patternType="solid">
        <fgColor indexed="13"/>
        <bgColor indexed="3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</borders>
  <cellStyleXfs count="15">
    <xf numFmtId="0" fontId="0" fillId="0" borderId="1">
      <alignment vertical="center" wrapText="1"/>
    </xf>
    <xf numFmtId="0" fontId="1" fillId="0" borderId="1" applyNumberFormat="0" applyFill="0" applyProtection="0">
      <alignment vertical="center" wrapText="1"/>
    </xf>
    <xf numFmtId="0" fontId="2" fillId="0" borderId="1" applyNumberFormat="0" applyFill="0" applyProtection="0">
      <alignment vertical="center" wrapText="1"/>
    </xf>
    <xf numFmtId="0" fontId="1" fillId="0" borderId="1" applyNumberFormat="0" applyProtection="0">
      <alignment vertical="center" wrapText="1"/>
    </xf>
    <xf numFmtId="0" fontId="1" fillId="2" borderId="1" applyNumberFormat="0" applyProtection="0">
      <alignment vertical="center" wrapText="1"/>
    </xf>
    <xf numFmtId="0" fontId="2" fillId="0" borderId="1" applyNumberFormat="0" applyFill="0" applyProtection="0">
      <alignment vertical="center" wrapText="1"/>
    </xf>
    <xf numFmtId="0" fontId="2" fillId="2" borderId="1" applyNumberFormat="0" applyProtection="0">
      <alignment vertical="center" wrapText="1"/>
    </xf>
    <xf numFmtId="0" fontId="2" fillId="0" borderId="1" applyNumberFormat="0" applyFill="0" applyProtection="0">
      <alignment vertical="center" wrapText="1"/>
    </xf>
    <xf numFmtId="0" fontId="3" fillId="2" borderId="1" applyNumberFormat="0" applyProtection="0">
      <alignment vertical="center" wrapText="1"/>
    </xf>
    <xf numFmtId="0" fontId="4" fillId="0" borderId="1" applyNumberFormat="0" applyFill="0" applyProtection="0">
      <alignment vertical="center" wrapText="1"/>
    </xf>
    <xf numFmtId="0" fontId="4" fillId="0" borderId="1" applyNumberFormat="0" applyFill="0" applyProtection="0">
      <alignment vertical="center" textRotation="90" wrapText="1"/>
    </xf>
    <xf numFmtId="0" fontId="4" fillId="0" borderId="1" applyNumberFormat="0" applyFill="0" applyProtection="0">
      <alignment vertical="center" textRotation="90" wrapText="1"/>
    </xf>
    <xf numFmtId="0" fontId="4" fillId="0" borderId="1" applyNumberFormat="0" applyFill="0" applyProtection="0">
      <alignment vertical="center" wrapText="1"/>
    </xf>
    <xf numFmtId="0" fontId="5" fillId="0" borderId="0"/>
    <xf numFmtId="0" fontId="29" fillId="0" borderId="1" applyNumberFormat="0" applyFill="0" applyBorder="0" applyAlignment="0" applyProtection="0">
      <alignment vertical="center" wrapText="1"/>
    </xf>
  </cellStyleXfs>
  <cellXfs count="107">
    <xf numFmtId="0" fontId="0" fillId="0" borderId="1" xfId="0">
      <alignment vertical="center" wrapText="1"/>
    </xf>
    <xf numFmtId="0" fontId="1" fillId="0" borderId="1" xfId="1" applyAlignment="1">
      <alignment horizontal="left" vertical="center" wrapText="1"/>
    </xf>
    <xf numFmtId="0" fontId="1" fillId="2" borderId="1" xfId="4" applyFill="1" applyAlignment="1">
      <alignment horizontal="left" vertical="center" wrapText="1"/>
    </xf>
    <xf numFmtId="0" fontId="1" fillId="2" borderId="1" xfId="4" applyAlignment="1">
      <alignment horizontal="left" vertical="center" wrapText="1"/>
    </xf>
    <xf numFmtId="0" fontId="1" fillId="0" borderId="1" xfId="4" applyFill="1" applyAlignment="1">
      <alignment horizontal="left" vertical="center" wrapText="1"/>
    </xf>
    <xf numFmtId="0" fontId="1" fillId="2" borderId="1" xfId="3" applyFill="1" applyAlignment="1">
      <alignment horizontal="left" vertical="center" wrapText="1"/>
    </xf>
    <xf numFmtId="0" fontId="1" fillId="0" borderId="2" xfId="4" applyFill="1" applyBorder="1" applyAlignment="1">
      <alignment horizontal="left" vertical="center" wrapText="1"/>
    </xf>
    <xf numFmtId="0" fontId="1" fillId="0" borderId="1" xfId="3" applyAlignment="1">
      <alignment horizontal="left" vertical="center" wrapText="1"/>
    </xf>
    <xf numFmtId="0" fontId="1" fillId="0" borderId="1" xfId="3" applyFill="1" applyAlignment="1">
      <alignment horizontal="left" vertical="center" wrapText="1"/>
    </xf>
    <xf numFmtId="0" fontId="0" fillId="2" borderId="1" xfId="0" applyFill="1" applyAlignment="1">
      <alignment horizontal="left" vertical="center" wrapText="1"/>
    </xf>
    <xf numFmtId="0" fontId="0" fillId="0" borderId="1" xfId="0" applyAlignment="1">
      <alignment horizontal="left" vertical="center" wrapText="1"/>
    </xf>
    <xf numFmtId="0" fontId="5" fillId="0" borderId="0" xfId="13" applyAlignment="1">
      <alignment horizontal="left"/>
    </xf>
    <xf numFmtId="0" fontId="5" fillId="0" borderId="0" xfId="13" applyFont="1"/>
    <xf numFmtId="0" fontId="8" fillId="0" borderId="1" xfId="9" applyFont="1" applyAlignment="1" applyProtection="1">
      <alignment horizontal="center" vertical="center" wrapText="1"/>
      <protection locked="0"/>
    </xf>
    <xf numFmtId="0" fontId="9" fillId="0" borderId="0" xfId="13" applyFont="1" applyAlignment="1">
      <alignment horizontal="left"/>
    </xf>
    <xf numFmtId="0" fontId="8" fillId="0" borderId="1" xfId="9" applyFont="1" applyAlignment="1">
      <alignment horizontal="center" vertical="center" wrapText="1"/>
    </xf>
    <xf numFmtId="0" fontId="5" fillId="0" borderId="0" xfId="13" applyAlignment="1">
      <alignment horizontal="center"/>
    </xf>
    <xf numFmtId="0" fontId="10" fillId="0" borderId="1" xfId="3" applyFont="1" applyFill="1" applyAlignment="1">
      <alignment horizontal="left" vertical="center" wrapText="1"/>
    </xf>
    <xf numFmtId="0" fontId="10" fillId="0" borderId="1" xfId="3" applyFont="1" applyAlignment="1">
      <alignment horizontal="left" vertical="center" wrapText="1"/>
    </xf>
    <xf numFmtId="0" fontId="1" fillId="0" borderId="1" xfId="1" applyFont="1" applyFill="1" applyAlignment="1">
      <alignment horizontal="left" vertical="center" wrapText="1"/>
    </xf>
    <xf numFmtId="0" fontId="11" fillId="2" borderId="1" xfId="4" applyFont="1" applyFill="1" applyAlignment="1">
      <alignment horizontal="left" vertical="center" wrapText="1"/>
    </xf>
    <xf numFmtId="0" fontId="0" fillId="0" borderId="1" xfId="0" applyFill="1" applyAlignment="1">
      <alignment horizontal="left" vertical="center" wrapText="1"/>
    </xf>
    <xf numFmtId="0" fontId="5" fillId="0" borderId="0" xfId="13" applyFill="1" applyAlignment="1">
      <alignment horizontal="left"/>
    </xf>
    <xf numFmtId="0" fontId="12" fillId="2" borderId="1" xfId="4" applyFont="1" applyFill="1" applyAlignment="1">
      <alignment horizontal="left" vertical="center" wrapText="1"/>
    </xf>
    <xf numFmtId="49" fontId="1" fillId="0" borderId="1" xfId="1" applyNumberFormat="1" applyFont="1" applyAlignment="1">
      <alignment horizontal="left" vertical="center" wrapText="1"/>
    </xf>
    <xf numFmtId="0" fontId="1" fillId="2" borderId="1" xfId="4" applyFont="1" applyFill="1" applyAlignment="1">
      <alignment horizontal="left" vertical="top" wrapText="1"/>
    </xf>
    <xf numFmtId="0" fontId="1" fillId="2" borderId="1" xfId="4" applyFill="1" applyAlignment="1">
      <alignment horizontal="left" wrapText="1"/>
    </xf>
    <xf numFmtId="0" fontId="14" fillId="2" borderId="1" xfId="4" applyFont="1" applyFill="1" applyAlignment="1">
      <alignment horizontal="left" vertical="center" wrapText="1"/>
    </xf>
    <xf numFmtId="0" fontId="5" fillId="0" borderId="1" xfId="13" applyFont="1" applyBorder="1" applyAlignment="1">
      <alignment horizontal="center" vertical="center" wrapText="1"/>
    </xf>
    <xf numFmtId="0" fontId="0" fillId="0" borderId="1" xfId="0" applyFont="1" applyAlignment="1">
      <alignment horizontal="center" vertical="center" wrapText="1"/>
    </xf>
    <xf numFmtId="0" fontId="19" fillId="0" borderId="1" xfId="0" applyFont="1">
      <alignment vertical="center" wrapText="1"/>
    </xf>
    <xf numFmtId="0" fontId="0" fillId="0" borderId="1" xfId="0" applyAlignment="1">
      <alignment vertical="top" wrapText="1"/>
    </xf>
    <xf numFmtId="0" fontId="0" fillId="0" borderId="1" xfId="0" applyAlignment="1">
      <alignment horizontal="left" vertical="top" wrapText="1"/>
    </xf>
    <xf numFmtId="0" fontId="0" fillId="0" borderId="1" xfId="0" applyAlignment="1">
      <alignment vertical="center" wrapText="1"/>
    </xf>
    <xf numFmtId="0" fontId="20" fillId="0" borderId="1" xfId="12" applyFont="1" applyAlignment="1" applyProtection="1">
      <alignment horizontal="left" vertical="center" wrapText="1"/>
      <protection locked="0"/>
    </xf>
    <xf numFmtId="0" fontId="20" fillId="0" borderId="1" xfId="12" applyFont="1" applyFill="1" applyAlignment="1">
      <alignment horizontal="left" vertical="center" wrapText="1"/>
    </xf>
    <xf numFmtId="0" fontId="20" fillId="0" borderId="1" xfId="12" applyFont="1" applyFill="1" applyAlignment="1">
      <alignment horizontal="center" vertical="center" wrapText="1"/>
    </xf>
    <xf numFmtId="0" fontId="20" fillId="0" borderId="1" xfId="0" applyFont="1" applyFill="1" applyAlignment="1">
      <alignment horizontal="left" vertical="center" wrapText="1"/>
    </xf>
    <xf numFmtId="0" fontId="20" fillId="0" borderId="1" xfId="0" applyFont="1" applyFill="1" applyAlignment="1">
      <alignment horizontal="center" vertical="center" wrapText="1"/>
    </xf>
    <xf numFmtId="0" fontId="20" fillId="0" borderId="1" xfId="12" applyFont="1" applyAlignment="1">
      <alignment horizontal="center" vertical="center" wrapText="1"/>
    </xf>
    <xf numFmtId="0" fontId="8" fillId="0" borderId="1" xfId="9" applyFont="1" applyFill="1" applyAlignment="1">
      <alignment horizontal="center" vertical="center" wrapText="1"/>
    </xf>
    <xf numFmtId="0" fontId="8" fillId="0" borderId="3" xfId="9" applyFont="1" applyFill="1" applyBorder="1" applyAlignment="1">
      <alignment horizontal="center" vertical="center" wrapText="1"/>
    </xf>
    <xf numFmtId="0" fontId="8" fillId="0" borderId="1" xfId="0" applyFont="1" applyFill="1" applyAlignment="1">
      <alignment horizontal="center" vertical="center" wrapText="1"/>
    </xf>
    <xf numFmtId="0" fontId="9" fillId="0" borderId="1" xfId="12" applyFont="1" applyAlignment="1" applyProtection="1">
      <alignment horizontal="left" vertical="center" wrapText="1"/>
      <protection locked="0"/>
    </xf>
    <xf numFmtId="0" fontId="9" fillId="0" borderId="1" xfId="12" applyFont="1" applyAlignment="1">
      <alignment horizontal="left" vertical="center" wrapText="1"/>
    </xf>
    <xf numFmtId="0" fontId="24" fillId="0" borderId="1" xfId="12" applyFont="1" applyAlignment="1">
      <alignment horizontal="left" vertical="center" wrapText="1"/>
    </xf>
    <xf numFmtId="0" fontId="24" fillId="0" borderId="1" xfId="12" applyFont="1" applyFill="1" applyAlignment="1">
      <alignment horizontal="center" vertical="center" wrapText="1"/>
    </xf>
    <xf numFmtId="0" fontId="24" fillId="0" borderId="1" xfId="12" applyFont="1" applyFill="1" applyAlignment="1">
      <alignment horizontal="left" vertical="center" wrapText="1"/>
    </xf>
    <xf numFmtId="0" fontId="9" fillId="0" borderId="1" xfId="0" applyFont="1" applyAlignment="1">
      <alignment horizontal="left" vertical="center" wrapText="1"/>
    </xf>
    <xf numFmtId="0" fontId="8" fillId="0" borderId="3" xfId="9" applyFont="1" applyBorder="1" applyAlignment="1">
      <alignment horizontal="center" vertical="center" wrapText="1"/>
    </xf>
    <xf numFmtId="0" fontId="25" fillId="0" borderId="1" xfId="9" applyFont="1" applyAlignment="1">
      <alignment horizontal="center" vertical="center" wrapText="1"/>
    </xf>
    <xf numFmtId="0" fontId="25" fillId="0" borderId="1" xfId="9" applyFont="1" applyFill="1" applyAlignment="1">
      <alignment horizontal="center" vertical="center" wrapText="1"/>
    </xf>
    <xf numFmtId="0" fontId="8" fillId="0" borderId="1" xfId="0" applyFont="1" applyAlignment="1">
      <alignment horizontal="center" vertical="center" wrapText="1"/>
    </xf>
    <xf numFmtId="0" fontId="20" fillId="0" borderId="1" xfId="12" applyFont="1" applyAlignment="1">
      <alignment horizontal="left" vertical="center" wrapText="1"/>
    </xf>
    <xf numFmtId="0" fontId="20" fillId="0" borderId="1" xfId="0" applyFont="1" applyAlignment="1">
      <alignment horizontal="left" vertical="center" wrapText="1"/>
    </xf>
    <xf numFmtId="0" fontId="19" fillId="0" borderId="1" xfId="0" applyFont="1" applyAlignment="1">
      <alignment horizontal="center" vertical="center" wrapText="1"/>
    </xf>
    <xf numFmtId="0" fontId="26" fillId="0" borderId="1" xfId="12" applyFont="1" applyAlignment="1">
      <alignment horizontal="left" vertical="center" wrapText="1"/>
    </xf>
    <xf numFmtId="0" fontId="27" fillId="0" borderId="1" xfId="9" applyFont="1" applyAlignment="1">
      <alignment horizontal="center" vertical="center" wrapText="1"/>
    </xf>
    <xf numFmtId="0" fontId="20" fillId="0" borderId="6" xfId="12" applyFont="1" applyFill="1" applyBorder="1" applyAlignment="1">
      <alignment horizontal="center" vertical="center" wrapText="1"/>
    </xf>
    <xf numFmtId="0" fontId="20" fillId="0" borderId="1" xfId="12" applyFont="1" applyFill="1" applyAlignment="1">
      <alignment horizontal="center" vertical="center" wrapText="1"/>
    </xf>
    <xf numFmtId="0" fontId="8" fillId="0" borderId="8" xfId="9" applyFont="1" applyBorder="1" applyAlignment="1" applyProtection="1">
      <alignment horizontal="center" vertical="center" wrapText="1"/>
      <protection locked="0"/>
    </xf>
    <xf numFmtId="0" fontId="1" fillId="2" borderId="8" xfId="3" applyFill="1" applyBorder="1" applyAlignment="1">
      <alignment horizontal="left" vertical="center" wrapText="1"/>
    </xf>
    <xf numFmtId="0" fontId="8" fillId="0" borderId="9" xfId="9" applyFont="1" applyBorder="1" applyAlignment="1" applyProtection="1">
      <alignment horizontal="center" vertical="center" wrapText="1"/>
      <protection locked="0"/>
    </xf>
    <xf numFmtId="0" fontId="1" fillId="2" borderId="9" xfId="3" applyFill="1" applyBorder="1" applyAlignment="1">
      <alignment horizontal="left" vertical="center" wrapText="1"/>
    </xf>
    <xf numFmtId="0" fontId="1" fillId="2" borderId="9" xfId="4" applyFill="1" applyBorder="1" applyAlignment="1">
      <alignment horizontal="left" vertical="center" wrapText="1"/>
    </xf>
    <xf numFmtId="0" fontId="8" fillId="0" borderId="1" xfId="9" applyFont="1" applyBorder="1" applyAlignment="1" applyProtection="1">
      <alignment horizontal="center" vertical="center" wrapText="1"/>
      <protection locked="0"/>
    </xf>
    <xf numFmtId="0" fontId="3" fillId="0" borderId="1" xfId="8" applyFill="1" applyBorder="1" applyAlignment="1">
      <alignment horizontal="left" vertical="center" wrapText="1"/>
    </xf>
    <xf numFmtId="0" fontId="1" fillId="0" borderId="1" xfId="4" applyFill="1" applyBorder="1" applyAlignment="1">
      <alignment horizontal="left" vertical="center" wrapText="1"/>
    </xf>
    <xf numFmtId="0" fontId="28" fillId="0" borderId="0" xfId="13" applyFont="1" applyAlignment="1">
      <alignment vertical="center"/>
    </xf>
    <xf numFmtId="0" fontId="20" fillId="0" borderId="4" xfId="12" applyFont="1" applyBorder="1" applyAlignment="1">
      <alignment vertical="center" wrapText="1"/>
    </xf>
    <xf numFmtId="0" fontId="2" fillId="0" borderId="9" xfId="7" applyBorder="1" applyAlignment="1" applyProtection="1">
      <alignment horizontal="left" vertical="center" wrapText="1"/>
      <protection locked="0"/>
    </xf>
    <xf numFmtId="0" fontId="2" fillId="0" borderId="9" xfId="7" applyFill="1" applyBorder="1" applyAlignment="1" applyProtection="1">
      <alignment horizontal="left" vertical="center" wrapText="1"/>
      <protection locked="0"/>
    </xf>
    <xf numFmtId="0" fontId="15" fillId="0" borderId="9" xfId="7" applyFont="1" applyBorder="1" applyAlignment="1" applyProtection="1">
      <alignment horizontal="left" vertical="center" wrapText="1"/>
      <protection locked="0"/>
    </xf>
    <xf numFmtId="0" fontId="2" fillId="0" borderId="9" xfId="7" applyFont="1" applyBorder="1" applyAlignment="1" applyProtection="1">
      <alignment horizontal="left" vertical="center" wrapText="1"/>
      <protection locked="0"/>
    </xf>
    <xf numFmtId="164" fontId="5" fillId="0" borderId="10" xfId="13" applyNumberFormat="1" applyBorder="1" applyAlignment="1">
      <alignment horizontal="left"/>
    </xf>
    <xf numFmtId="0" fontId="8" fillId="0" borderId="11" xfId="9" applyFont="1" applyBorder="1" applyAlignment="1">
      <alignment horizontal="center" vertical="center" wrapText="1"/>
    </xf>
    <xf numFmtId="0" fontId="2" fillId="0" borderId="11" xfId="2" applyBorder="1" applyAlignment="1">
      <alignment horizontal="left" vertical="center" wrapText="1"/>
    </xf>
    <xf numFmtId="0" fontId="2" fillId="0" borderId="11" xfId="2" applyFont="1" applyFill="1" applyBorder="1" applyAlignment="1">
      <alignment horizontal="left" vertical="center" wrapText="1"/>
    </xf>
    <xf numFmtId="0" fontId="13" fillId="0" borderId="11" xfId="2" applyFont="1" applyBorder="1" applyAlignment="1">
      <alignment horizontal="left" vertical="center" wrapText="1"/>
    </xf>
    <xf numFmtId="0" fontId="28" fillId="0" borderId="0" xfId="13" applyFont="1" applyAlignment="1" applyProtection="1">
      <alignment horizontal="left" vertical="center"/>
      <protection locked="0"/>
    </xf>
    <xf numFmtId="0" fontId="8" fillId="0" borderId="1" xfId="9" applyFont="1" applyAlignment="1" applyProtection="1">
      <alignment horizontal="center" vertical="center" wrapText="1"/>
    </xf>
    <xf numFmtId="0" fontId="1" fillId="0" borderId="1" xfId="1" quotePrefix="1" applyFont="1" applyFill="1" applyAlignment="1">
      <alignment horizontal="left" vertical="center" wrapText="1"/>
    </xf>
    <xf numFmtId="0" fontId="1" fillId="0" borderId="1" xfId="1" quotePrefix="1" applyAlignment="1">
      <alignment horizontal="left" vertical="center" wrapText="1"/>
    </xf>
    <xf numFmtId="0" fontId="29" fillId="0" borderId="1" xfId="14" applyFill="1" applyAlignment="1">
      <alignment horizontal="left" vertical="center" wrapText="1"/>
    </xf>
    <xf numFmtId="0" fontId="29" fillId="0" borderId="1" xfId="14" applyAlignment="1">
      <alignment horizontal="left" vertical="center" wrapText="1"/>
    </xf>
    <xf numFmtId="0" fontId="29" fillId="2" borderId="1" xfId="14" applyFill="1" applyAlignment="1">
      <alignment horizontal="left" vertical="center" wrapText="1"/>
    </xf>
    <xf numFmtId="0" fontId="29" fillId="0" borderId="1" xfId="14" applyFill="1" applyBorder="1" applyAlignment="1">
      <alignment horizontal="left" vertical="center" wrapText="1"/>
    </xf>
    <xf numFmtId="0" fontId="29" fillId="0" borderId="0" xfId="14" applyBorder="1" applyAlignment="1">
      <alignment horizontal="left"/>
    </xf>
    <xf numFmtId="0" fontId="6" fillId="3" borderId="1" xfId="13" applyFont="1" applyFill="1" applyBorder="1" applyAlignment="1" applyProtection="1">
      <alignment horizontal="center" vertical="center"/>
      <protection locked="0"/>
    </xf>
    <xf numFmtId="0" fontId="6" fillId="4" borderId="2" xfId="13" applyFont="1" applyFill="1" applyBorder="1" applyAlignment="1">
      <alignment horizontal="center" vertical="center"/>
    </xf>
    <xf numFmtId="0" fontId="6" fillId="5" borderId="1" xfId="13" applyFont="1" applyFill="1" applyBorder="1" applyAlignment="1">
      <alignment horizontal="center" vertical="center"/>
    </xf>
    <xf numFmtId="0" fontId="7" fillId="0" borderId="1" xfId="12" applyFont="1" applyAlignment="1">
      <alignment horizontal="center" vertical="center" wrapText="1"/>
    </xf>
    <xf numFmtId="0" fontId="8" fillId="0" borderId="1" xfId="9" applyFont="1" applyBorder="1" applyAlignment="1" applyProtection="1">
      <alignment horizontal="center" vertical="center" wrapText="1"/>
      <protection locked="0"/>
    </xf>
    <xf numFmtId="0" fontId="8" fillId="0" borderId="4" xfId="9" applyFont="1" applyBorder="1" applyAlignment="1" applyProtection="1">
      <alignment horizontal="center" vertical="center" wrapText="1"/>
      <protection locked="0"/>
    </xf>
    <xf numFmtId="0" fontId="8" fillId="0" borderId="5" xfId="9" applyFont="1" applyBorder="1" applyAlignment="1" applyProtection="1">
      <alignment horizontal="center" vertical="center" wrapText="1"/>
      <protection locked="0"/>
    </xf>
    <xf numFmtId="0" fontId="8" fillId="0" borderId="7" xfId="9" applyFont="1" applyBorder="1" applyAlignment="1" applyProtection="1">
      <alignment horizontal="center" vertical="center" wrapText="1"/>
      <protection locked="0"/>
    </xf>
    <xf numFmtId="0" fontId="22" fillId="0" borderId="1" xfId="0" applyFont="1" applyAlignment="1">
      <alignment horizontal="center" vertical="center" wrapText="1"/>
    </xf>
    <xf numFmtId="0" fontId="20" fillId="0" borderId="3" xfId="12" applyFont="1" applyFill="1" applyBorder="1" applyAlignment="1">
      <alignment horizontal="left" vertical="center" wrapText="1"/>
    </xf>
    <xf numFmtId="0" fontId="20" fillId="0" borderId="1" xfId="12" applyFont="1" applyFill="1" applyAlignment="1">
      <alignment horizontal="center" vertical="center" wrapText="1"/>
    </xf>
    <xf numFmtId="0" fontId="20" fillId="0" borderId="1" xfId="12" applyFont="1" applyFill="1" applyAlignment="1">
      <alignment horizontal="left" vertical="center" wrapText="1"/>
    </xf>
    <xf numFmtId="0" fontId="7" fillId="5" borderId="1" xfId="13" applyFont="1" applyFill="1" applyBorder="1" applyAlignment="1">
      <alignment horizontal="center" vertical="center"/>
    </xf>
    <xf numFmtId="0" fontId="20" fillId="0" borderId="3" xfId="12" applyFont="1" applyBorder="1" applyAlignment="1">
      <alignment horizontal="left" vertical="center" wrapText="1"/>
    </xf>
    <xf numFmtId="0" fontId="24" fillId="0" borderId="1" xfId="12" applyFont="1" applyAlignment="1">
      <alignment horizontal="center" vertical="center" wrapText="1"/>
    </xf>
    <xf numFmtId="0" fontId="24" fillId="0" borderId="1" xfId="12" applyFont="1" applyFill="1" applyAlignment="1">
      <alignment horizontal="center" vertical="center" wrapText="1"/>
    </xf>
    <xf numFmtId="0" fontId="24" fillId="0" borderId="1" xfId="12" applyFont="1" applyFill="1" applyAlignment="1">
      <alignment horizontal="left" vertical="center" wrapText="1"/>
    </xf>
    <xf numFmtId="0" fontId="9" fillId="0" borderId="3" xfId="12" applyFont="1" applyBorder="1" applyAlignment="1">
      <alignment horizontal="left" vertical="center" wrapText="1"/>
    </xf>
    <xf numFmtId="0" fontId="20" fillId="0" borderId="1" xfId="12" applyFont="1" applyAlignment="1">
      <alignment horizontal="center" vertical="center" wrapText="1"/>
    </xf>
  </cellXfs>
  <cellStyles count="15">
    <cellStyle name="Artikelnummer" xfId="3"/>
    <cellStyle name="Artikelnummer Hintergrund" xfId="4"/>
    <cellStyle name="Excel Built-in Normal" xfId="13"/>
    <cellStyle name="Fahrzeug" xfId="1"/>
    <cellStyle name="Fahrzeug Zusatz" xfId="2"/>
    <cellStyle name="Gruppe" xfId="8"/>
    <cellStyle name="Hyperlink" xfId="14" builtinId="8"/>
    <cellStyle name="Info Vertrieb" xfId="7"/>
    <cellStyle name="LKF Funktionen" xfId="5"/>
    <cellStyle name="LKF Funktionen hinterlegt" xfId="6"/>
    <cellStyle name="Spaltenkopf" xfId="9"/>
    <cellStyle name="Spaltenkopf Beschreibung" xfId="12"/>
    <cellStyle name="Spaltenkopf gedreht" xfId="10"/>
    <cellStyle name="Spaltenkopf gedreht klein" xfId="11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819"/>
  <sheetViews>
    <sheetView tabSelected="1" zoomScale="85" zoomScaleNormal="85" zoomScaleSheetLayoutView="100" workbookViewId="0">
      <pane xSplit="5" ySplit="4" topLeftCell="N19" activePane="bottomRight" state="frozen"/>
      <selection sqref="A1:L2"/>
      <selection pane="topRight" sqref="A1:L2"/>
      <selection pane="bottomLeft" sqref="A1:L2"/>
      <selection pane="bottomRight" activeCell="Q235" sqref="Q235"/>
    </sheetView>
  </sheetViews>
  <sheetFormatPr baseColWidth="10" defaultColWidth="10.7109375" defaultRowHeight="15" outlineLevelCol="1"/>
  <cols>
    <col min="1" max="1" width="21.42578125" style="1" bestFit="1" customWidth="1"/>
    <col min="2" max="2" width="23.28515625" style="1" bestFit="1" customWidth="1"/>
    <col min="3" max="3" width="23.42578125" style="1" bestFit="1" customWidth="1"/>
    <col min="4" max="4" width="25" style="1" bestFit="1" customWidth="1"/>
    <col min="5" max="5" width="39" style="76" bestFit="1" customWidth="1"/>
    <col min="6" max="6" width="44.140625" style="70" bestFit="1" customWidth="1"/>
    <col min="7" max="7" width="24.28515625" style="2" bestFit="1" customWidth="1"/>
    <col min="8" max="8" width="21" style="2" bestFit="1" customWidth="1"/>
    <col min="9" max="9" width="24.140625" style="2" bestFit="1" customWidth="1"/>
    <col min="10" max="10" width="22.7109375" style="2" bestFit="1" customWidth="1"/>
    <col min="11" max="11" width="24.140625" style="3" bestFit="1" customWidth="1"/>
    <col min="12" max="12" width="12.28515625" style="4" bestFit="1" customWidth="1"/>
    <col min="13" max="13" width="24.28515625" style="5" customWidth="1"/>
    <col min="14" max="14" width="23.28515625" style="5" customWidth="1" outlineLevel="1"/>
    <col min="15" max="15" width="23.7109375" style="5" customWidth="1" outlineLevel="1"/>
    <col min="16" max="16" width="24.5703125" style="5" customWidth="1" outlineLevel="1"/>
    <col min="17" max="17" width="19.28515625" style="61" customWidth="1" outlineLevel="1"/>
    <col min="18" max="18" width="16.42578125" style="66" bestFit="1" customWidth="1"/>
    <col min="19" max="19" width="20.42578125" style="67" bestFit="1" customWidth="1"/>
    <col min="20" max="20" width="18.5703125" style="64" customWidth="1" outlineLevel="1"/>
    <col min="21" max="21" width="16.85546875" style="2" customWidth="1" outlineLevel="1"/>
    <col min="22" max="22" width="24.28515625" style="4" customWidth="1" outlineLevel="1"/>
    <col min="23" max="23" width="13.140625" style="2" customWidth="1" outlineLevel="1"/>
    <col min="24" max="24" width="10.85546875" style="4" customWidth="1" outlineLevel="1"/>
    <col min="25" max="25" width="18.85546875" style="4" customWidth="1" outlineLevel="1"/>
    <col min="26" max="26" width="24.28515625" style="2" bestFit="1" customWidth="1"/>
    <col min="27" max="27" width="19" style="4" bestFit="1" customWidth="1"/>
    <col min="28" max="28" width="23.42578125" style="2" bestFit="1" customWidth="1"/>
    <col min="29" max="29" width="10.85546875" style="7" bestFit="1" customWidth="1"/>
    <col min="30" max="30" width="14" style="7" bestFit="1" customWidth="1"/>
    <col min="31" max="31" width="21" style="2" bestFit="1" customWidth="1"/>
    <col min="32" max="32" width="15.7109375" style="8" bestFit="1" customWidth="1"/>
    <col min="33" max="33" width="24.5703125" style="5" bestFit="1" customWidth="1"/>
    <col min="34" max="34" width="23.7109375" style="4" bestFit="1" customWidth="1"/>
    <col min="35" max="35" width="23.7109375" style="5" bestFit="1" customWidth="1"/>
    <col min="36" max="36" width="24.28515625" style="5" bestFit="1" customWidth="1"/>
    <col min="37" max="37" width="23.7109375" style="5" customWidth="1" outlineLevel="1"/>
    <col min="38" max="38" width="24.5703125" style="3" bestFit="1" customWidth="1"/>
    <col min="39" max="39" width="24.5703125" style="7" bestFit="1" customWidth="1"/>
    <col min="40" max="40" width="24.28515625" style="2" bestFit="1" customWidth="1"/>
    <col min="41" max="41" width="23.42578125" style="7" bestFit="1" customWidth="1"/>
    <col min="42" max="42" width="24.140625" style="9" bestFit="1" customWidth="1"/>
    <col min="43" max="43" width="9.140625" style="7" bestFit="1" customWidth="1"/>
    <col min="44" max="44" width="14.140625" style="3" bestFit="1" customWidth="1"/>
    <col min="45" max="45" width="14" style="10" bestFit="1" customWidth="1"/>
    <col min="46" max="46" width="20.140625" style="9" bestFit="1" customWidth="1"/>
    <col min="47" max="47" width="12.7109375" style="7" bestFit="1" customWidth="1"/>
    <col min="48" max="16384" width="10.7109375" style="11"/>
  </cols>
  <sheetData>
    <row r="1" spans="1:47" s="12" customFormat="1">
      <c r="A1" s="12" t="s">
        <v>0</v>
      </c>
      <c r="D1" s="12" t="s">
        <v>1</v>
      </c>
      <c r="E1" s="74">
        <f ca="1">NOW()</f>
        <v>43307.549947916668</v>
      </c>
      <c r="F1" s="88" t="str">
        <f>IF($B$2 = "deutsch", Sprache!A1,IF($B$2 = "espanol",Sprache!A7,Sprache!A13))</f>
        <v>allgemein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 t="str">
        <f>IF($B$2 = "deutsch", Sprache!M1,IF($B$2 = "espanol",Sprache!M7,Sprache!M13))</f>
        <v>CAR-HIFI</v>
      </c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90" t="str">
        <f>IF($B$2 = "deutsch", Sprache!AC1,IF($B$2 = "espanol",Sprache!AC7,Sprache!AC13))</f>
        <v>Sonderfahrzeugbau</v>
      </c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</row>
    <row r="2" spans="1:47" s="12" customFormat="1" ht="31.5">
      <c r="A2" s="68" t="s">
        <v>2</v>
      </c>
      <c r="B2" s="79" t="s">
        <v>1373</v>
      </c>
      <c r="E2" s="74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</row>
    <row r="3" spans="1:47" s="14" customFormat="1" ht="110.25">
      <c r="A3" s="91" t="str">
        <f>IF($B$2 = "deutsch", "Fahrzeuge",IF($B$2 = "espanol","vehiculo","vehicles"))</f>
        <v>Fahrzeuge</v>
      </c>
      <c r="B3" s="91"/>
      <c r="C3" s="91"/>
      <c r="D3" s="91"/>
      <c r="E3" s="91"/>
      <c r="F3" s="62"/>
      <c r="G3" s="13" t="str">
        <f>IF($B$2 = "deutsch", Sprache!B3,IF($B$2 = "espanol",Sprache!B9,Sprache!B15))</f>
        <v xml:space="preserve">Speed 3600 Pulse/km, KA Pulse sh. Datenblatt, Rückwärtsgang, ACC, Licht </v>
      </c>
      <c r="H3" s="13" t="str">
        <f>IF($B$2 = "deutsch", Sprache!C3,IF($B$2 = "espanol",Sprache!C9,Sprache!C15))</f>
        <v>-</v>
      </c>
      <c r="I3" s="13" t="str">
        <f>IF($B$2 = "deutsch", Sprache!D3,IF($B$2 = "espanol",Sprache!D9,Sprache!D15))</f>
        <v>Speed (wie ADIF KA), Drehzahl, Zündung, Ladekontrolle</v>
      </c>
      <c r="J3" s="13" t="str">
        <f>IF($B$2 = "deutsch", Sprache!E3,IF($B$2 = "espanol",Sprache!E9,Sprache!E15))</f>
        <v>Speed (3600 Pulse/km), R, ACC, PDC Ausgang = an, wenn &lt; 11 km/h</v>
      </c>
      <c r="K3" s="13" t="str">
        <f>IF($B$2 = "deutsch", Sprache!F3,IF($B$2 = "espanol",Sprache!F9,Sprache!F15))</f>
        <v>wie ADIF, 5. Ausgang Mute der orig. FSE</v>
      </c>
      <c r="L3" s="13" t="str">
        <f>IF($B$2 = "deutsch", Sprache!G3,IF($B$2 = "espanol",Sprache!G9,Sprache!G15))</f>
        <v>-</v>
      </c>
      <c r="M3" s="13" t="str">
        <f>IF($B$2 = "deutsch", Sprache!H3,IF($B$2 = "espanol",Sprache!H9,Sprache!H15))</f>
        <v>Speed (Pulse), R, Zündung, Nebelschluß-, Stand-, Abblend-, Fern-, Blinker links, rechts, Bremslicht</v>
      </c>
      <c r="N3" s="13" t="str">
        <f>IF($B$2 = "deutsch", Sprache!I3,IF($B$2 = "espanol",Sprache!I9,Sprache!I15))</f>
        <v>wie Signalbox, anstatt Nebelschlußlicht Heckklappe offen Signal</v>
      </c>
      <c r="O3" s="13" t="str">
        <f>IF($B$2 = "deutsch", Sprache!J3,IF($B$2 = "espanol",Sprache!J9,Sprache!J15))</f>
        <v>wie Signalbox, anstatt Nebelschlußlicht Ladekontrolle</v>
      </c>
      <c r="P3" s="13" t="str">
        <f>IF($B$2 = "deutsch", Sprache!K3,IF($B$2 = "espanol",Sprache!K9,Sprache!K15))</f>
        <v>wie Signalbox, anstatt Nebelschlußlicht Warnblinkersignal</v>
      </c>
      <c r="Q3" s="60" t="str">
        <f>IF($B$2 = "deutsch", Sprache!L3,IF($B$2 = "espanol",Sprache!L9,Sprache!L15))</f>
        <v>Handbremse, R, Zündung, Warnblinker, Türkontakt vorne, hinten , D+, Heckklappe, Speed</v>
      </c>
      <c r="R3" s="92" t="str">
        <f>IF($B$2 = "deutsch", Sprache!M3,IF($B$2 = "espanol",Sprache!M9,Sprache!M15))</f>
        <v>speed (3600 Pulse/km), R, Licht, Handbremse/Mute, LKF</v>
      </c>
      <c r="S3" s="92"/>
      <c r="T3" s="93" t="str">
        <f>IF($B$2 = "deutsch", Sprache!O3,IF($B$2 = "espanol",Sprache!O9,Sprache!O15))</f>
        <v>speed (3600 Pulse/km), R, Licht, Handbremse/Mute, LKF</v>
      </c>
      <c r="U3" s="94"/>
      <c r="V3" s="13" t="str">
        <f>IF($B$2 = "deutsch", Sprache!Q3,IF($B$2 = "espanol",Sprache!Q9,Sprache!Q15))</f>
        <v>speed (3600 Pulse/km), R, Licht, Handbremse/Mute, LKF</v>
      </c>
      <c r="W3" s="13" t="str">
        <f>IF($B$2 = "deutsch", Sprache!R3,IF($B$2 = "espanol",Sprache!R9,Sprache!R15))</f>
        <v>LKF</v>
      </c>
      <c r="X3" s="93" t="str">
        <f>IF($B$2 = "deutsch", Sprache!S3,IF($B$2 = "espanol",Sprache!S9,Sprache!S15))</f>
        <v>-</v>
      </c>
      <c r="Y3" s="94"/>
      <c r="Z3" s="13" t="str">
        <f>IF($B$2 = "deutsch", Sprache!U3,IF($B$2 = "espanol",Sprache!U9,Sprache!U15))</f>
        <v>speed (3600 Pulse/km), R, Licht, Handbremse/Mute, LKF, Display</v>
      </c>
      <c r="AA3" s="13" t="str">
        <f>IF($B$2 = "deutsch", Sprache!V3,IF($B$2 = "espanol",Sprache!V9,Sprache!V15))</f>
        <v>-</v>
      </c>
      <c r="AB3" s="13" t="str">
        <f>IF($B$2 = "deutsch", Sprache!W3,IF($B$2 = "espanol",Sprache!W9,Sprache!W15))</f>
        <v>-</v>
      </c>
      <c r="AC3" s="93" t="str">
        <f>IF($B$2 = "deutsch", Sprache!X3,IF($B$2 = "espanol",Sprache!X9,Sprache!X15))</f>
        <v>Ausgabe der originalen PDC-Töne</v>
      </c>
      <c r="AD3" s="95"/>
      <c r="AE3" s="13" t="str">
        <f>IF($B$2 = "deutsch", Sprache!Z3,IF($B$2 = "espanol",Sprache!Z9,Sprache!Z15))</f>
        <v>-</v>
      </c>
      <c r="AF3" s="13" t="str">
        <f>IF($B$2 = "deutsch", Sprache!AA3,IF($B$2 = "espanol",Sprache!AA9,Sprache!AA15))</f>
        <v>ACC, Beleuchtung</v>
      </c>
      <c r="AG3" s="13" t="str">
        <f>IF($B$2 = "deutsch", Sprache!AB3,IF($B$2 = "espanol",Sprache!AB9,Sprache!AB15))</f>
        <v>Pre15, Beleuchtung</v>
      </c>
      <c r="AH3" s="13" t="str">
        <f>IF($B$2 = "deutsch", Sprache!AC3,IF($B$2 = "espanol",Sprache!AC9,Sprache!AC15))</f>
        <v>serielle Daten gem. Protokoll und analoge Zündung</v>
      </c>
      <c r="AI3" s="13" t="str">
        <f>IF($B$2 = "deutsch", Sprache!AD3,IF($B$2 = "espanol",Sprache!AD9,Sprache!AD15))</f>
        <v>Radpulse, Zündung, Dachzeichenansteuerung, 2 Tastereingänge</v>
      </c>
      <c r="AJ3" s="13" t="str">
        <f>IF($B$2 = "deutsch", Sprache!AE3,IF($B$2 = "espanol",Sprache!AE9,Sprache!AE15))</f>
        <v>wie Taxi, auslösen/rücksetzen mit nur 1 Taster</v>
      </c>
      <c r="AK3" s="13" t="str">
        <f>IF($B$2 = "deutsch", Sprache!AF3,IF($B$2 = "espanol",Sprache!AF9,Sprache!AF15))</f>
        <v>wie Taxi, Beifahrersitzkontakt anstatt Ausgang voller Alarm</v>
      </c>
      <c r="AL3" s="13" t="str">
        <f>IF($B$2 = "deutsch", Sprache!AG3,IF($B$2 = "espanol",Sprache!AG9,Sprache!AG15))</f>
        <v>ACC, Teltaste pot. frei</v>
      </c>
      <c r="AM3" s="13" t="str">
        <f>IF($B$2 = "deutsch", Sprache!AH3,IF($B$2 = "espanol",Sprache!AH9,Sprache!AH15))</f>
        <v>Rückbau Digitaler Tachograph</v>
      </c>
      <c r="AN3" s="13" t="str">
        <f>IF($B$2 = "deutsch", Sprache!AI3,IF($B$2 = "espanol",Sprache!AI9,Sprache!AI15))</f>
        <v>pot. frei Kontakt bei Telefon, ACC</v>
      </c>
      <c r="AO3" s="13" t="str">
        <f>IF($B$2 = "deutsch", Sprache!AJ3,IF($B$2 = "espanol",Sprache!AJ9,Sprache!AJ15))</f>
        <v>Steuerung der Lüftungsklappen und Gebläsestufe</v>
      </c>
      <c r="AP3" s="13" t="str">
        <f>IF($B$2 = "deutsch", Sprache!AK3,IF($B$2 = "espanol",Sprache!AK9,Sprache!AK15))</f>
        <v>Aktivierung WB mit öffnen der Heckklappe</v>
      </c>
      <c r="AQ3" s="13" t="str">
        <f>IF($B$2 = "deutsch", Sprache!AL3,IF($B$2 = "espanol",Sprache!AL9,Sprache!AL15))</f>
        <v>-</v>
      </c>
      <c r="AR3" s="13" t="str">
        <f>IF($B$2 = "deutsch", Sprache!AM3,IF($B$2 = "espanol",Sprache!AM9,Sprache!AM15))</f>
        <v>-</v>
      </c>
      <c r="AS3" s="13" t="str">
        <f>IF($B$2 = "deutsch", Sprache!AN3,IF($B$2 = "espanol",Sprache!AN9,Sprache!AN15))</f>
        <v>-</v>
      </c>
      <c r="AT3" s="13" t="str">
        <f>IF($B$2 = "deutsch", Sprache!AO3,IF($B$2 = "espanol",Sprache!AO9,Sprache!AO15))</f>
        <v>-</v>
      </c>
      <c r="AU3" s="13" t="str">
        <f>IF($B$2 = "deutsch", Sprache!AP3,IF($B$2 = "espanol",Sprache!AP9,Sprache!AP15))</f>
        <v>-</v>
      </c>
    </row>
    <row r="4" spans="1:47" s="16" customFormat="1" ht="47.25">
      <c r="A4" s="80" t="str">
        <f>IF($B$2 = "deutsch", "Fahrzeuge",IF($B$2 = "espanol","fabricante","manufacturer"))</f>
        <v>Fahrzeuge</v>
      </c>
      <c r="B4" s="80" t="str">
        <f>IF($B$2 = "deutsch", "Modell/Typ",IF($B$2 = "espanol","modelo/tipo","modell/type"))</f>
        <v>Modell/Typ</v>
      </c>
      <c r="C4" s="80" t="str">
        <f>IF($B$2 = "deutsch", "Nummer/Typ",IF($B$2 = "espanol","numero/tipo","number/type"))</f>
        <v>Nummer/Typ</v>
      </c>
      <c r="D4" s="80" t="str">
        <f>IF($B$2 = "deutsch", "Baujahr",IF($B$2 = "espanol","ano de construccion","construction year"))</f>
        <v>Baujahr</v>
      </c>
      <c r="E4" s="75" t="str">
        <f>IF($B$2 = "deutsch", "Zusatz",IF($B$2 = "espanol","la adenda","addition"))</f>
        <v>Zusatz</v>
      </c>
      <c r="F4" s="62" t="str">
        <f>IF($B$2 = "deutsch", Sprache!A4,IF($B$2 = "espanol",Sprache!A10,Sprache!A16))</f>
        <v>Infos Vertrieb</v>
      </c>
      <c r="G4" s="13" t="str">
        <f>IF($B$2 = "deutsch", Sprache!B4,IF($B$2 = "espanol",Sprache!B10,Sprache!B16))</f>
        <v>ADIF</v>
      </c>
      <c r="H4" s="13" t="str">
        <f>IF($B$2 = "deutsch", Sprache!C4,IF($B$2 = "espanol",Sprache!C10,Sprache!C16))</f>
        <v>ADIF Plug&amp;Play
Kabelsatz</v>
      </c>
      <c r="I4" s="13" t="str">
        <f>IF($B$2 = "deutsch", Sprache!D4,IF($B$2 = "espanol",Sprache!D10,Sprache!D16))</f>
        <v>ADIF ZI</v>
      </c>
      <c r="J4" s="13" t="str">
        <f>IF($B$2 = "deutsch", Sprache!E4,IF($B$2 = "espanol",Sprache!E10,Sprache!E16))</f>
        <v>ADIF PD</v>
      </c>
      <c r="K4" s="13" t="str">
        <f>IF($B$2 = "deutsch", Sprache!F4,IF($B$2 = "espanol",Sprache!F10,Sprache!F16))</f>
        <v>ADIF M</v>
      </c>
      <c r="L4" s="13" t="str">
        <f>IF($B$2 = "deutsch", Sprache!G4,IF($B$2 = "espanol",Sprache!G10,Sprache!G16))</f>
        <v>Speed-
Connect</v>
      </c>
      <c r="M4" s="13" t="str">
        <f>IF($B$2 = "deutsch", Sprache!H4,IF($B$2 = "espanol",Sprache!H10,Sprache!H16))</f>
        <v>Signalbox</v>
      </c>
      <c r="N4" s="13" t="str">
        <f>IF($B$2 = "deutsch", Sprache!I4,IF($B$2 = "espanol",Sprache!I10,Sprache!I16))</f>
        <v>Signalbox H</v>
      </c>
      <c r="O4" s="13" t="str">
        <f>IF($B$2 = "deutsch", Sprache!J4,IF($B$2 = "espanol",Sprache!J10,Sprache!J16))</f>
        <v>Signalbox V</v>
      </c>
      <c r="P4" s="13" t="str">
        <f>IF($B$2 = "deutsch", Sprache!K4,IF($B$2 = "espanol",Sprache!K10,Sprache!K16))</f>
        <v>Signalbox W</v>
      </c>
      <c r="Q4" s="60" t="str">
        <f>IF($B$2 = "deutsch", Sprache!L4,IF($B$2 = "espanol",Sprache!L10,Sprache!L16))</f>
        <v>Signalbox
ABH</v>
      </c>
      <c r="R4" s="65" t="str">
        <f>IF($B$2 = "deutsch", Sprache!M4,IF($B$2 = "espanol",Sprache!M10,Sprache!M16))</f>
        <v>Gruppe</v>
      </c>
      <c r="S4" s="65" t="str">
        <f>IF($B$2 = "deutsch", Sprache!N4,IF($B$2 = "espanol",Sprache!N10,Sprache!N16))</f>
        <v>Lekrad-fernbedienungs-
Interface</v>
      </c>
      <c r="T4" s="62" t="str">
        <f>IF($B$2 = "deutsch", Sprache!O4,IF($B$2 = "espanol",Sprache!O10,Sprache!O16))</f>
        <v>URI</v>
      </c>
      <c r="U4" s="13" t="str">
        <f>IF($B$2 = "deutsch", Sprache!P4,IF($B$2 = "espanol",Sprache!P10,Sprache!P16))</f>
        <v>URI-Kabel</v>
      </c>
      <c r="V4" s="13" t="str">
        <f>IF($B$2 = "deutsch", Sprache!Q4,IF($B$2 = "espanol",Sprache!Q10,Sprache!Q16))</f>
        <v>URI 2</v>
      </c>
      <c r="W4" s="13" t="str">
        <f>IF($B$2 = "deutsch", Sprache!R4,IF($B$2 = "espanol",Sprache!R10,Sprache!R16))</f>
        <v>RC3/RC5</v>
      </c>
      <c r="X4" s="13" t="str">
        <f>IF($B$2 = "deutsch", Sprache!S4,IF($B$2 = "espanol",Sprache!S10,Sprache!S16))</f>
        <v>Gruppe</v>
      </c>
      <c r="Y4" s="13" t="str">
        <f>IF($B$2 = "deutsch", Sprache!T4,IF($B$2 = "espanol",Sprache!T10,Sprache!T16))</f>
        <v>Lenkrad+PDC Interface mit Piezo</v>
      </c>
      <c r="Z4" s="13" t="str">
        <f>IF($B$2 = "deutsch", Sprache!U4,IF($B$2 = "espanol",Sprache!U10,Sprache!U16))</f>
        <v>Alpine
Disp. IF</v>
      </c>
      <c r="AA4" s="13" t="str">
        <f>IF($B$2 = "deutsch", Sprache!V4,IF($B$2 = "espanol",Sprache!V10,Sprache!V16))</f>
        <v>Radio-Blende</v>
      </c>
      <c r="AB4" s="13" t="str">
        <f>IF($B$2 = "deutsch", Sprache!W4,IF($B$2 = "espanol",Sprache!W10,Sprache!W16))</f>
        <v>Antennenadapter</v>
      </c>
      <c r="AC4" s="13" t="str">
        <f>IF($B$2 = "deutsch", Sprache!X4,IF($B$2 = "espanol",Sprache!X10,Sprache!X16))</f>
        <v>Gruppe</v>
      </c>
      <c r="AD4" s="13" t="str">
        <f>IF($B$2 = "deutsch", Sprache!Y4,IF($B$2 = "espanol",Sprache!Y10,Sprache!Y16))</f>
        <v>PDC-IF</v>
      </c>
      <c r="AE4" s="13" t="str">
        <f>IF($B$2 = "deutsch", Sprache!Z4,IF($B$2 = "espanol",Sprache!Z10,Sprache!Z16))</f>
        <v>Orig. Rüchfahr- kamera Anbindung</v>
      </c>
      <c r="AF4" s="13" t="str">
        <f>IF($B$2 = "deutsch", Sprache!AA4,IF($B$2 = "espanol",Sprache!AA10,Sprache!AA16))</f>
        <v>RICCI</v>
      </c>
      <c r="AG4" s="13" t="str">
        <f>IF($B$2 = "deutsch", Sprache!AB4,IF($B$2 = "espanol",Sprache!AB10,Sprache!AB16))</f>
        <v>PRE15</v>
      </c>
      <c r="AH4" s="13" t="str">
        <f>IF($B$2 = "deutsch", Sprache!AC4,IF($B$2 = "espanol",Sprache!AC10,Sprache!AC16))</f>
        <v>can2com</v>
      </c>
      <c r="AI4" s="13" t="str">
        <f>IF($B$2 = "deutsch", Sprache!AD4,IF($B$2 = "espanol",Sprache!AD10,Sprache!AD16))</f>
        <v>Taxi</v>
      </c>
      <c r="AJ4" s="13" t="str">
        <f>IF($B$2 = "deutsch", Sprache!AE4,IF($B$2 = "espanol",Sprache!AE10,Sprache!AE16))</f>
        <v>Taxi -1</v>
      </c>
      <c r="AK4" s="13" t="str">
        <f>IF($B$2 = "deutsch", Sprache!AF4,IF($B$2 = "espanol",Sprache!AF10,Sprache!AF16))</f>
        <v>Taxi -2</v>
      </c>
      <c r="AL4" s="13" t="str">
        <f>IF($B$2 = "deutsch", Sprache!AG4,IF($B$2 = "espanol",Sprache!AG10,Sprache!AG16))</f>
        <v>PhICI</v>
      </c>
      <c r="AM4" s="13" t="str">
        <f>IF($B$2 = "deutsch", Sprache!AH4,IF($B$2 = "espanol",Sprache!AH10,Sprache!AH16))</f>
        <v>DT Replace</v>
      </c>
      <c r="AN4" s="13" t="str">
        <f>IF($B$2 = "deutsch", Sprache!AI4,IF($B$2 = "espanol",Sprache!AI10,Sprache!AI16))</f>
        <v>OBI</v>
      </c>
      <c r="AO4" s="13" t="str">
        <f>IF($B$2 = "deutsch", Sprache!AJ4,IF($B$2 = "espanol",Sprache!AJ10,Sprache!AJ16))</f>
        <v>Standheizungs-
Interface</v>
      </c>
      <c r="AP4" s="13" t="str">
        <f>IF($B$2 = "deutsch", Sprache!AK4,IF($B$2 = "espanol",Sprache!AK10,Sprache!AK16))</f>
        <v>Heckklappenmodul</v>
      </c>
      <c r="AQ4" s="13" t="str">
        <f>IF($B$2 = "deutsch", Sprache!AL4,IF($B$2 = "espanol",Sprache!AL10,Sprache!AL16))</f>
        <v>Carla</v>
      </c>
      <c r="AR4" s="13" t="str">
        <f>IF($B$2 = "deutsch", Sprache!AM4,IF($B$2 = "espanol",Sprache!AM10,Sprache!AM16))</f>
        <v>MickiFleet</v>
      </c>
      <c r="AS4" s="13" t="str">
        <f>IF($B$2 = "deutsch", Sprache!AN4,IF($B$2 = "espanol",Sprache!AN10,Sprache!AN16))</f>
        <v>MWS
Run-Lock</v>
      </c>
      <c r="AT4" s="13" t="str">
        <f>IF($B$2 = "deutsch", Sprache!AO4,IF($B$2 = "espanol",Sprache!AO10,Sprache!AO16))</f>
        <v>Start-Stop-
Memory</v>
      </c>
      <c r="AU4" s="13" t="str">
        <f>IF($B$2 = "deutsch", Sprache!AP4,IF($B$2 = "espanol",Sprache!AP10,Sprache!AP16))</f>
        <v>Sonstige</v>
      </c>
    </row>
    <row r="5" spans="1:47">
      <c r="A5" s="1" t="s">
        <v>3</v>
      </c>
      <c r="B5" s="1">
        <v>147</v>
      </c>
      <c r="C5" s="1">
        <v>937</v>
      </c>
      <c r="D5" s="1" t="s">
        <v>4</v>
      </c>
      <c r="E5" s="76" t="s">
        <v>5</v>
      </c>
      <c r="F5" s="70" t="s">
        <v>6</v>
      </c>
      <c r="T5" s="63"/>
      <c r="U5" s="5"/>
      <c r="W5" s="5"/>
      <c r="X5" s="17"/>
      <c r="Y5" s="8"/>
      <c r="AC5" s="18"/>
      <c r="AF5" s="8" t="str">
        <f>HYPERLINK(CONCATENATE(TabelleURL!$B$1,"340_Helfer/3404700.pdf"), "B-3404700")</f>
        <v>B-3404700</v>
      </c>
      <c r="AL5" s="3" t="s">
        <v>7</v>
      </c>
    </row>
    <row r="6" spans="1:47">
      <c r="A6" s="1" t="s">
        <v>3</v>
      </c>
      <c r="B6" s="1">
        <v>147</v>
      </c>
      <c r="C6" s="1">
        <v>937</v>
      </c>
      <c r="D6" s="1" t="s">
        <v>8</v>
      </c>
      <c r="E6" s="76" t="s">
        <v>9</v>
      </c>
      <c r="F6" s="70" t="s">
        <v>10</v>
      </c>
      <c r="G6" s="2" t="str">
        <f>HYPERLINK(CONCATENATE(TabelleURL!$B$1,"332_ADIF/332AR01.pdf"), "332AR01")</f>
        <v>332AR01</v>
      </c>
      <c r="M6" s="5" t="str">
        <f>HYPERLINK(CONCATENATE(TabelleURL!$B$1,"345_Signalbox/3450257.pdf"), "3450257")</f>
        <v>3450257</v>
      </c>
      <c r="R6" s="66" t="s">
        <v>11</v>
      </c>
      <c r="S6" s="67" t="str">
        <f>HYPERLINK(CONCATENATE(TabelleURL!$B$1,"347_URI/3474761.pdf"), "B-3474761")</f>
        <v>B-3474761</v>
      </c>
      <c r="T6" s="63">
        <v>3474761</v>
      </c>
      <c r="U6" s="5" t="s">
        <v>12</v>
      </c>
      <c r="W6" s="5"/>
      <c r="X6" s="17"/>
      <c r="Y6" s="8"/>
      <c r="AC6" s="18"/>
      <c r="AF6" s="8" t="str">
        <f>HYPERLINK(CONCATENATE(TabelleURL!$B$1,"340_Helfer/3404700.pdf"), "B-3404700")</f>
        <v>B-3404700</v>
      </c>
      <c r="AL6" s="3" t="s">
        <v>7</v>
      </c>
    </row>
    <row r="7" spans="1:47">
      <c r="A7" s="19" t="s">
        <v>3</v>
      </c>
      <c r="B7" s="19">
        <v>156</v>
      </c>
      <c r="C7" s="19">
        <v>932</v>
      </c>
      <c r="D7" s="19" t="s">
        <v>13</v>
      </c>
      <c r="E7" s="77" t="s">
        <v>9</v>
      </c>
      <c r="F7" s="71"/>
      <c r="G7" s="2" t="str">
        <f>HYPERLINK(CONCATENATE(TabelleURL!$B$1,"332_ADIF/332AR01.pdf"), "332AR01")</f>
        <v>332AR01</v>
      </c>
      <c r="M7" s="5" t="str">
        <f>HYPERLINK(CONCATENATE(TabelleURL!$B$1,"345_Signalbox/3450257.pdf"), "3450257")</f>
        <v>3450257</v>
      </c>
      <c r="R7" s="66" t="s">
        <v>11</v>
      </c>
      <c r="S7" s="67" t="str">
        <f>HYPERLINK(CONCATENATE(TabelleURL!$B$1,"347_URI/3474761.pdf"), "B-3474761")</f>
        <v>B-3474761</v>
      </c>
      <c r="T7" s="63">
        <v>3474761</v>
      </c>
      <c r="U7" s="5" t="s">
        <v>12</v>
      </c>
      <c r="W7" s="5"/>
      <c r="X7" s="17"/>
      <c r="Y7" s="8"/>
      <c r="AC7" s="18"/>
      <c r="AF7" s="8" t="str">
        <f>HYPERLINK(CONCATENATE(TabelleURL!$B$1,"340_Helfer/3404700.pdf"), "B-3404700")</f>
        <v>B-3404700</v>
      </c>
      <c r="AL7" s="3" t="s">
        <v>7</v>
      </c>
    </row>
    <row r="8" spans="1:47">
      <c r="A8" s="19" t="s">
        <v>3</v>
      </c>
      <c r="B8" s="19">
        <v>159</v>
      </c>
      <c r="C8" s="19">
        <v>939</v>
      </c>
      <c r="D8" s="19" t="s">
        <v>14</v>
      </c>
      <c r="E8" s="77"/>
      <c r="F8" s="71"/>
      <c r="G8" s="2" t="str">
        <f>HYPERLINK(CONCATENATE(TabelleURL!$B$1,"332_ADIF/332AR01.pdf"), "332AR01")</f>
        <v>332AR01</v>
      </c>
      <c r="M8" s="5" t="str">
        <f>HYPERLINK(CONCATENATE(TabelleURL!$B$1,"345_Signalbox/3450257.pdf"), "3450257")</f>
        <v>3450257</v>
      </c>
      <c r="R8" s="66" t="s">
        <v>11</v>
      </c>
      <c r="S8" s="67" t="str">
        <f>HYPERLINK(CONCATENATE(TabelleURL!$B$1,"347_URI/3474761.pdf"), "B-3474761")</f>
        <v>B-3474761</v>
      </c>
      <c r="T8" s="63">
        <v>3474761</v>
      </c>
      <c r="U8" s="5" t="s">
        <v>12</v>
      </c>
      <c r="W8" s="5"/>
      <c r="X8" s="17"/>
      <c r="Y8" s="8"/>
      <c r="AC8" s="18"/>
      <c r="AF8" s="8" t="str">
        <f>HYPERLINK(CONCATENATE(TabelleURL!$B$1,"340_Helfer/3404700.pdf"), "B-3404700")</f>
        <v>B-3404700</v>
      </c>
      <c r="AL8" s="3" t="s">
        <v>7</v>
      </c>
      <c r="AN8" s="2" t="str">
        <f>HYPERLINK(CONCATENATE(TabelleURL!$B$1,"350_RICI_PDC_OBI/3500031 OBI Alfa BMW Fiat Merc Opel VW D_E.pdf"), "3500031")</f>
        <v>3500031</v>
      </c>
    </row>
    <row r="9" spans="1:47">
      <c r="A9" s="19" t="s">
        <v>3</v>
      </c>
      <c r="B9" s="19">
        <v>159</v>
      </c>
      <c r="C9" s="19">
        <v>939</v>
      </c>
      <c r="D9" s="19" t="s">
        <v>14</v>
      </c>
      <c r="E9" s="77" t="s">
        <v>15</v>
      </c>
      <c r="F9" s="71"/>
      <c r="G9" s="2" t="str">
        <f>HYPERLINK(CONCATENATE(TabelleURL!$B$1,"332_ADIF/332AR01.pdf"), "332AR01")</f>
        <v>332AR01</v>
      </c>
      <c r="J9" s="20"/>
      <c r="M9" s="5" t="str">
        <f>HYPERLINK(CONCATENATE(TabelleURL!$B$1,"345_Signalbox/3450257.pdf"), "3450257")</f>
        <v>3450257</v>
      </c>
      <c r="R9" s="66" t="s">
        <v>16</v>
      </c>
      <c r="S9" s="67" t="str">
        <f>HYPERLINK(CONCATENATE(TabelleURL!$B$1,"347_URI/3474761.pdf"), "B-3474766")</f>
        <v>B-3474766</v>
      </c>
      <c r="T9" s="63">
        <v>3474761</v>
      </c>
      <c r="U9" s="5" t="s">
        <v>17</v>
      </c>
      <c r="W9" s="5"/>
      <c r="X9" s="17"/>
      <c r="Y9" s="8"/>
      <c r="AC9" s="18"/>
      <c r="AF9" s="8" t="str">
        <f>HYPERLINK(CONCATENATE(TabelleURL!$B$1,"340_Helfer/3404700.pdf"), "B-3404700")</f>
        <v>B-3404700</v>
      </c>
      <c r="AL9" s="3" t="s">
        <v>7</v>
      </c>
      <c r="AN9" s="2" t="str">
        <f>HYPERLINK(CONCATENATE(TabelleURL!$B$1,"350_RICI_PDC_OBI/3500031 OBI Alfa BMW Fiat Merc Opel VW D_E.pdf"), "3500031")</f>
        <v>3500031</v>
      </c>
    </row>
    <row r="10" spans="1:47" s="22" customFormat="1">
      <c r="A10" s="19" t="s">
        <v>3</v>
      </c>
      <c r="B10" s="19" t="s">
        <v>18</v>
      </c>
      <c r="C10" s="19">
        <v>960</v>
      </c>
      <c r="D10" s="19" t="s">
        <v>19</v>
      </c>
      <c r="E10" s="77"/>
      <c r="F10" s="71"/>
      <c r="G10" s="2"/>
      <c r="H10" s="2"/>
      <c r="I10" s="2"/>
      <c r="J10" s="2"/>
      <c r="K10" s="3"/>
      <c r="L10" s="4"/>
      <c r="M10" s="5"/>
      <c r="N10" s="5"/>
      <c r="O10" s="5"/>
      <c r="P10" s="5"/>
      <c r="Q10" s="61"/>
      <c r="R10" s="66"/>
      <c r="S10" s="67"/>
      <c r="T10" s="63"/>
      <c r="U10" s="5"/>
      <c r="V10" s="4"/>
      <c r="W10" s="5"/>
      <c r="X10" s="17"/>
      <c r="Y10" s="8"/>
      <c r="Z10" s="2"/>
      <c r="AA10" s="4"/>
      <c r="AB10" s="2"/>
      <c r="AC10" s="17"/>
      <c r="AD10" s="8"/>
      <c r="AE10" s="2"/>
      <c r="AF10" s="8"/>
      <c r="AG10" s="5"/>
      <c r="AH10" s="4"/>
      <c r="AI10" s="5"/>
      <c r="AJ10" s="5"/>
      <c r="AK10" s="5"/>
      <c r="AL10" s="5"/>
      <c r="AM10" s="8"/>
      <c r="AN10" s="2"/>
      <c r="AO10" s="8"/>
      <c r="AP10" s="9"/>
      <c r="AQ10" s="8"/>
      <c r="AR10" s="5"/>
      <c r="AS10" s="21"/>
      <c r="AT10" s="9"/>
      <c r="AU10" s="8"/>
    </row>
    <row r="11" spans="1:47">
      <c r="A11" s="19" t="s">
        <v>3</v>
      </c>
      <c r="B11" s="19" t="s">
        <v>20</v>
      </c>
      <c r="C11" s="19">
        <v>939</v>
      </c>
      <c r="D11" s="19" t="s">
        <v>21</v>
      </c>
      <c r="E11" s="77"/>
      <c r="F11" s="71"/>
      <c r="G11" s="2" t="str">
        <f>HYPERLINK(CONCATENATE(TabelleURL!$B$1,"332_ADIF/332AR01.pdf"), "332AR01")</f>
        <v>332AR01</v>
      </c>
      <c r="M11" s="5" t="str">
        <f>HYPERLINK(CONCATENATE(TabelleURL!$B$1,"345_Signalbox/3450257.pdf"), "3450257")</f>
        <v>3450257</v>
      </c>
      <c r="R11" s="66" t="s">
        <v>11</v>
      </c>
      <c r="S11" s="67" t="str">
        <f>HYPERLINK(CONCATENATE(TabelleURL!$B$1,"347_URI/3474761.pdf"), "B-3474761")</f>
        <v>B-3474761</v>
      </c>
      <c r="T11" s="63">
        <v>3474761</v>
      </c>
      <c r="U11" s="5" t="s">
        <v>12</v>
      </c>
      <c r="W11" s="5"/>
      <c r="X11" s="17"/>
      <c r="Y11" s="8"/>
      <c r="AC11" s="18"/>
      <c r="AF11" s="8" t="str">
        <f>HYPERLINK(CONCATENATE(TabelleURL!$B$1,"340_Helfer/3404700.pdf"), "B-3404700")</f>
        <v>B-3404700</v>
      </c>
      <c r="AL11" s="3" t="s">
        <v>7</v>
      </c>
      <c r="AN11" s="2" t="str">
        <f>HYPERLINK(CONCATENATE(TabelleURL!$B$1,"350_RICI_PDC_OBI/3500031 OBI Alfa BMW Fiat Merc Opel VW D_E.pdf"), "3500031")</f>
        <v>3500031</v>
      </c>
    </row>
    <row r="12" spans="1:47">
      <c r="A12" s="19" t="s">
        <v>3</v>
      </c>
      <c r="B12" s="19" t="s">
        <v>20</v>
      </c>
      <c r="C12" s="19">
        <v>939</v>
      </c>
      <c r="D12" s="19" t="s">
        <v>21</v>
      </c>
      <c r="E12" s="77" t="s">
        <v>15</v>
      </c>
      <c r="F12" s="71"/>
      <c r="G12" s="2" t="str">
        <f>HYPERLINK(CONCATENATE(TabelleURL!$B$1,"332_ADIF/332AR01.pdf"), "332AR01")</f>
        <v>332AR01</v>
      </c>
      <c r="H12" s="23"/>
      <c r="M12" s="5" t="str">
        <f>HYPERLINK(CONCATENATE(TabelleURL!$B$1,"345_Signalbox/3450257.pdf"), "3450257")</f>
        <v>3450257</v>
      </c>
      <c r="R12" s="66" t="s">
        <v>16</v>
      </c>
      <c r="S12" s="67" t="str">
        <f>HYPERLINK(CONCATENATE(TabelleURL!$B$1,"347_URI/3474761.pdf"), "B-3474766")</f>
        <v>B-3474766</v>
      </c>
      <c r="T12" s="63">
        <v>3474761</v>
      </c>
      <c r="U12" s="5" t="s">
        <v>17</v>
      </c>
      <c r="W12" s="5"/>
      <c r="X12" s="17"/>
      <c r="Y12" s="8"/>
      <c r="AC12" s="18"/>
      <c r="AF12" s="8" t="str">
        <f>HYPERLINK(CONCATENATE(TabelleURL!$B$1,"340_Helfer/3404700.pdf"), "B-3404700")</f>
        <v>B-3404700</v>
      </c>
      <c r="AL12" s="3" t="s">
        <v>7</v>
      </c>
      <c r="AN12" s="2" t="str">
        <f>HYPERLINK(CONCATENATE(TabelleURL!$B$1,"350_RICI_PDC_OBI/3500031 OBI Alfa BMW Fiat Merc Opel VW D_E.pdf"), "3500031")</f>
        <v>3500031</v>
      </c>
    </row>
    <row r="13" spans="1:47">
      <c r="A13" s="19" t="s">
        <v>3</v>
      </c>
      <c r="B13" s="19" t="s">
        <v>22</v>
      </c>
      <c r="C13" s="19">
        <v>937</v>
      </c>
      <c r="D13" s="19" t="s">
        <v>23</v>
      </c>
      <c r="E13" s="77"/>
      <c r="F13" s="71"/>
      <c r="G13" s="2" t="str">
        <f>HYPERLINK(CONCATENATE(TabelleURL!$B$1,"332_ADIF/332AR01.pdf"), "332AR01")</f>
        <v>332AR01</v>
      </c>
      <c r="M13" s="5" t="str">
        <f>HYPERLINK(CONCATENATE(TabelleURL!$B$1,"345_Signalbox/3450257.pdf"), "3450257")</f>
        <v>3450257</v>
      </c>
      <c r="R13" s="66" t="s">
        <v>11</v>
      </c>
      <c r="S13" s="67" t="str">
        <f>HYPERLINK(CONCATENATE(TabelleURL!$B$1,"347_URI/3474761.pdf"), "B-3474761")</f>
        <v>B-3474761</v>
      </c>
      <c r="T13" s="63">
        <v>3474761</v>
      </c>
      <c r="U13" s="5" t="s">
        <v>12</v>
      </c>
      <c r="W13" s="5"/>
      <c r="X13" s="17"/>
      <c r="Y13" s="8"/>
      <c r="AC13" s="18"/>
      <c r="AF13" s="8" t="str">
        <f>HYPERLINK(CONCATENATE(TabelleURL!$B$1,"340_Helfer/3404700.pdf"), "B-3404700")</f>
        <v>B-3404700</v>
      </c>
      <c r="AL13" s="3" t="s">
        <v>7</v>
      </c>
    </row>
    <row r="14" spans="1:47" s="22" customFormat="1">
      <c r="A14" s="19" t="s">
        <v>3</v>
      </c>
      <c r="B14" s="19" t="s">
        <v>24</v>
      </c>
      <c r="C14" s="19">
        <v>952</v>
      </c>
      <c r="D14" s="19" t="s">
        <v>25</v>
      </c>
      <c r="E14" s="77"/>
      <c r="F14" s="71"/>
      <c r="G14" s="2"/>
      <c r="H14" s="2"/>
      <c r="I14" s="2"/>
      <c r="J14" s="2"/>
      <c r="K14" s="3"/>
      <c r="L14" s="4"/>
      <c r="M14" s="5"/>
      <c r="N14" s="5"/>
      <c r="O14" s="5"/>
      <c r="P14" s="5"/>
      <c r="Q14" s="61"/>
      <c r="R14" s="66"/>
      <c r="S14" s="67"/>
      <c r="T14" s="63"/>
      <c r="U14" s="5"/>
      <c r="V14" s="4"/>
      <c r="W14" s="5"/>
      <c r="X14" s="17"/>
      <c r="Y14" s="8"/>
      <c r="Z14" s="2"/>
      <c r="AA14" s="4"/>
      <c r="AB14" s="2"/>
      <c r="AC14" s="17"/>
      <c r="AD14" s="8"/>
      <c r="AE14" s="2"/>
      <c r="AF14" s="8"/>
      <c r="AG14" s="5"/>
      <c r="AH14" s="4"/>
      <c r="AI14" s="5"/>
      <c r="AJ14" s="5"/>
      <c r="AK14" s="5"/>
      <c r="AL14" s="5"/>
      <c r="AM14" s="8"/>
      <c r="AN14" s="2"/>
      <c r="AO14" s="8"/>
      <c r="AP14" s="9"/>
      <c r="AQ14" s="8"/>
      <c r="AR14" s="5"/>
      <c r="AS14" s="21"/>
      <c r="AT14" s="9"/>
      <c r="AU14" s="8"/>
    </row>
    <row r="15" spans="1:47">
      <c r="A15" s="19" t="s">
        <v>3</v>
      </c>
      <c r="B15" s="19" t="s">
        <v>26</v>
      </c>
      <c r="C15" s="19">
        <v>940</v>
      </c>
      <c r="D15" s="19" t="s">
        <v>27</v>
      </c>
      <c r="E15" s="77"/>
      <c r="F15" s="71"/>
      <c r="G15" s="2" t="str">
        <f>HYPERLINK(CONCATENATE(TabelleURL!$B$1,"332_ADIF/332AR01.pdf"), "332AR01")</f>
        <v>332AR01</v>
      </c>
      <c r="M15" s="5" t="str">
        <f>HYPERLINK(CONCATENATE(TabelleURL!$B$1,"345_Signalbox/3450257.pdf"), "3450257")</f>
        <v>3450257</v>
      </c>
      <c r="R15" s="66" t="s">
        <v>11</v>
      </c>
      <c r="S15" s="67" t="str">
        <f>HYPERLINK(CONCATENATE(TabelleURL!$B$1,"347_URI/3474761.pdf"), "B-3474761")</f>
        <v>B-3474761</v>
      </c>
      <c r="T15" s="63">
        <v>3474761</v>
      </c>
      <c r="U15" s="5" t="s">
        <v>12</v>
      </c>
      <c r="W15" s="5"/>
      <c r="X15" s="17"/>
      <c r="Y15" s="8"/>
      <c r="AC15" s="18"/>
      <c r="AF15" s="8" t="str">
        <f>HYPERLINK(CONCATENATE(TabelleURL!$B$1,"340_Helfer/3404700.pdf"), "B-3404700")</f>
        <v>B-3404700</v>
      </c>
      <c r="AL15" s="3" t="s">
        <v>7</v>
      </c>
      <c r="AN15" s="2" t="str">
        <f>HYPERLINK(CONCATENATE(TabelleURL!$B$1,"350_RICI_PDC_OBI/3500031 OBI Alfa BMW Fiat Merc Opel VW D_E.pdf"), "3500031")</f>
        <v>3500031</v>
      </c>
    </row>
    <row r="16" spans="1:47">
      <c r="A16" s="19" t="s">
        <v>3</v>
      </c>
      <c r="B16" s="19" t="s">
        <v>26</v>
      </c>
      <c r="C16" s="19">
        <v>940</v>
      </c>
      <c r="D16" s="19" t="s">
        <v>27</v>
      </c>
      <c r="E16" s="77" t="s">
        <v>15</v>
      </c>
      <c r="F16" s="71"/>
      <c r="G16" s="2" t="str">
        <f>HYPERLINK(CONCATENATE(TabelleURL!$B$1,"332_ADIF/332AR01.pdf"), "332AR01")</f>
        <v>332AR01</v>
      </c>
      <c r="M16" s="5" t="str">
        <f>HYPERLINK(CONCATENATE(TabelleURL!$B$1,"345_Signalbox/3450257.pdf"), "3450257")</f>
        <v>3450257</v>
      </c>
      <c r="R16" s="66" t="s">
        <v>16</v>
      </c>
      <c r="S16" s="67" t="str">
        <f>HYPERLINK(CONCATENATE(TabelleURL!$B$1,"347_URI/3474761.pdf"), "B-3474766")</f>
        <v>B-3474766</v>
      </c>
      <c r="T16" s="63">
        <v>3474761</v>
      </c>
      <c r="U16" s="5" t="s">
        <v>17</v>
      </c>
      <c r="W16" s="5"/>
      <c r="X16" s="17"/>
      <c r="Y16" s="8"/>
      <c r="AC16" s="18"/>
      <c r="AF16" s="8" t="str">
        <f>HYPERLINK(CONCATENATE(TabelleURL!$B$1,"340_Helfer/3404700.pdf"), "B-3404700")</f>
        <v>B-3404700</v>
      </c>
      <c r="AL16" s="3" t="s">
        <v>7</v>
      </c>
      <c r="AN16" s="2" t="str">
        <f>HYPERLINK(CONCATENATE(TabelleURL!$B$1,"350_RICI_PDC_OBI/3500031 OBI Alfa BMW Fiat Merc Opel VW D_E.pdf"), "3500031")</f>
        <v>3500031</v>
      </c>
    </row>
    <row r="17" spans="1:47">
      <c r="A17" s="19" t="s">
        <v>3</v>
      </c>
      <c r="B17" s="19" t="s">
        <v>28</v>
      </c>
      <c r="C17" s="19">
        <v>955</v>
      </c>
      <c r="D17" s="19" t="s">
        <v>29</v>
      </c>
      <c r="E17" s="77"/>
      <c r="F17" s="71"/>
      <c r="G17" s="2" t="str">
        <f>HYPERLINK(CONCATENATE(TabelleURL!$B$1,"332_ADIF/332AR01.pdf"), "332AR01")</f>
        <v>332AR01</v>
      </c>
      <c r="M17" s="5" t="str">
        <f>HYPERLINK(CONCATENATE(TabelleURL!$B$1,"345_Signalbox/3450257.pdf"), "3450257")</f>
        <v>3450257</v>
      </c>
      <c r="R17" s="66" t="s">
        <v>11</v>
      </c>
      <c r="S17" s="67" t="str">
        <f>HYPERLINK(CONCATENATE(TabelleURL!$B$1,"347_URI/3474761.pdf"), "B-3474761")</f>
        <v>B-3474761</v>
      </c>
      <c r="T17" s="63">
        <v>3474761</v>
      </c>
      <c r="U17" s="5" t="s">
        <v>12</v>
      </c>
      <c r="W17" s="5"/>
      <c r="X17" s="17"/>
      <c r="Y17" s="8"/>
      <c r="AC17" s="18"/>
      <c r="AF17" s="8" t="str">
        <f>HYPERLINK(CONCATENATE(TabelleURL!$B$1,"340_Helfer/3404700.pdf"), "B-3404700")</f>
        <v>B-3404700</v>
      </c>
      <c r="AL17" s="3" t="s">
        <v>7</v>
      </c>
      <c r="AN17" s="2" t="str">
        <f>HYPERLINK(CONCATENATE(TabelleURL!$B$1,"350_RICI_PDC_OBI/3500031 OBI Alfa BMW Fiat Merc Opel VW D_E.pdf"), "3500031")</f>
        <v>3500031</v>
      </c>
    </row>
    <row r="18" spans="1:47" ht="25.5">
      <c r="A18" s="19" t="s">
        <v>3</v>
      </c>
      <c r="B18" s="19" t="s">
        <v>28</v>
      </c>
      <c r="C18" s="19">
        <v>955</v>
      </c>
      <c r="D18" s="19" t="s">
        <v>29</v>
      </c>
      <c r="E18" s="77" t="s">
        <v>15</v>
      </c>
      <c r="F18" s="71"/>
      <c r="G18" s="2" t="str">
        <f>HYPERLINK(CONCATENATE(TabelleURL!$B$1,"332_ADIF/332AR01.pdf"), "332AR01")</f>
        <v>332AR01</v>
      </c>
      <c r="M18" s="5" t="str">
        <f>HYPERLINK(CONCATENATE(TabelleURL!$B$1,"345_Signalbox/3450257.pdf"), "3450257")</f>
        <v>3450257</v>
      </c>
      <c r="R18" s="66" t="s">
        <v>16</v>
      </c>
      <c r="S18" s="67" t="str">
        <f>HYPERLINK(CONCATENATE(TabelleURL!$B$1,"347_URI/3474761.pdf"), "B-3474766")</f>
        <v>B-3474766</v>
      </c>
      <c r="T18" s="63">
        <v>3474761</v>
      </c>
      <c r="U18" s="5" t="s">
        <v>17</v>
      </c>
      <c r="W18" s="5"/>
      <c r="X18" s="17"/>
      <c r="Y18" s="8"/>
      <c r="AB18" s="2" t="s">
        <v>30</v>
      </c>
      <c r="AC18" s="18"/>
      <c r="AF18" s="8" t="str">
        <f>HYPERLINK(CONCATENATE(TabelleURL!$B$1,"340_Helfer/3404700.pdf"), "B-3404700")</f>
        <v>B-3404700</v>
      </c>
      <c r="AL18" s="3" t="s">
        <v>7</v>
      </c>
      <c r="AN18" s="2" t="str">
        <f>HYPERLINK(CONCATENATE(TabelleURL!$B$1,"350_RICI_PDC_OBI/3500031 OBI Alfa BMW Fiat Merc Opel VW D_E.pdf"), "3500031")</f>
        <v>3500031</v>
      </c>
    </row>
    <row r="19" spans="1:47">
      <c r="A19" s="19" t="s">
        <v>3</v>
      </c>
      <c r="B19" s="19" t="s">
        <v>31</v>
      </c>
      <c r="C19" s="19">
        <v>939</v>
      </c>
      <c r="D19" s="19" t="s">
        <v>8</v>
      </c>
      <c r="E19" s="77"/>
      <c r="F19" s="71"/>
      <c r="G19" s="2" t="str">
        <f>HYPERLINK(CONCATENATE(TabelleURL!$B$1,"332_ADIF/332AR01.pdf"), "332AR01")</f>
        <v>332AR01</v>
      </c>
      <c r="M19" s="5" t="str">
        <f>HYPERLINK(CONCATENATE(TabelleURL!$B$1,"345_Signalbox/3450257.pdf"), "3450257")</f>
        <v>3450257</v>
      </c>
      <c r="R19" s="66" t="s">
        <v>11</v>
      </c>
      <c r="S19" s="67" t="str">
        <f>HYPERLINK(CONCATENATE(TabelleURL!$B$1,"347_URI/3474761.pdf"), "B-3474761")</f>
        <v>B-3474761</v>
      </c>
      <c r="T19" s="63">
        <v>3474761</v>
      </c>
      <c r="U19" s="5" t="s">
        <v>12</v>
      </c>
      <c r="W19" s="5"/>
      <c r="X19" s="17"/>
      <c r="Y19" s="8"/>
      <c r="AC19" s="18"/>
      <c r="AF19" s="8" t="str">
        <f>HYPERLINK(CONCATENATE(TabelleURL!$B$1,"340_Helfer/3404700.pdf"), "B-3404700")</f>
        <v>B-3404700</v>
      </c>
      <c r="AL19" s="3" t="s">
        <v>7</v>
      </c>
      <c r="AN19" s="2" t="str">
        <f>HYPERLINK(CONCATENATE(TabelleURL!$B$1,"350_RICI_PDC_OBI/3500031 OBI Alfa BMW Fiat Merc Opel VW D_E.pdf"), "3500031")</f>
        <v>3500031</v>
      </c>
    </row>
    <row r="20" spans="1:47">
      <c r="A20" s="19" t="s">
        <v>3</v>
      </c>
      <c r="B20" s="19" t="s">
        <v>31</v>
      </c>
      <c r="C20" s="19">
        <v>939</v>
      </c>
      <c r="D20" s="19" t="s">
        <v>8</v>
      </c>
      <c r="E20" s="77" t="s">
        <v>15</v>
      </c>
      <c r="F20" s="71"/>
      <c r="G20" s="2" t="str">
        <f>HYPERLINK(CONCATENATE(TabelleURL!$B$1,"332_ADIF/332AR01.pdf"), "332AR01")</f>
        <v>332AR01</v>
      </c>
      <c r="M20" s="5" t="str">
        <f>HYPERLINK(CONCATENATE(TabelleURL!$B$1,"345_Signalbox/3450257.pdf"), "3450257")</f>
        <v>3450257</v>
      </c>
      <c r="R20" s="66" t="s">
        <v>16</v>
      </c>
      <c r="S20" s="67" t="str">
        <f>HYPERLINK(CONCATENATE(TabelleURL!$B$1,"347_URI/3474761.pdf"), "B-3474766")</f>
        <v>B-3474766</v>
      </c>
      <c r="T20" s="63">
        <v>3474761</v>
      </c>
      <c r="U20" s="5" t="s">
        <v>17</v>
      </c>
      <c r="W20" s="5"/>
      <c r="X20" s="17"/>
      <c r="Y20" s="8"/>
      <c r="AC20" s="18"/>
      <c r="AF20" s="8" t="str">
        <f>HYPERLINK(CONCATENATE(TabelleURL!$B$1,"340_Helfer/3404700.pdf"), "B-3404700")</f>
        <v>B-3404700</v>
      </c>
      <c r="AL20" s="3" t="s">
        <v>7</v>
      </c>
      <c r="AN20" s="2" t="str">
        <f>HYPERLINK(CONCATENATE(TabelleURL!$B$1,"350_RICI_PDC_OBI/3500031 OBI Alfa BMW Fiat Merc Opel VW D_E.pdf"), "3500031")</f>
        <v>3500031</v>
      </c>
    </row>
    <row r="21" spans="1:47" s="22" customFormat="1">
      <c r="A21" s="19" t="s">
        <v>3</v>
      </c>
      <c r="B21" s="19" t="s">
        <v>32</v>
      </c>
      <c r="C21" s="19">
        <v>949</v>
      </c>
      <c r="D21" s="19" t="s">
        <v>25</v>
      </c>
      <c r="E21" s="77"/>
      <c r="F21" s="71"/>
      <c r="G21" s="2"/>
      <c r="H21" s="2"/>
      <c r="I21" s="2"/>
      <c r="J21" s="2"/>
      <c r="K21" s="3"/>
      <c r="L21" s="4"/>
      <c r="M21" s="5"/>
      <c r="N21" s="5"/>
      <c r="O21" s="5"/>
      <c r="P21" s="5"/>
      <c r="Q21" s="61"/>
      <c r="R21" s="66"/>
      <c r="S21" s="67"/>
      <c r="T21" s="63"/>
      <c r="U21" s="5"/>
      <c r="V21" s="4"/>
      <c r="W21" s="5"/>
      <c r="X21" s="17"/>
      <c r="Y21" s="8"/>
      <c r="Z21" s="2"/>
      <c r="AA21" s="4"/>
      <c r="AB21" s="2"/>
      <c r="AC21" s="17"/>
      <c r="AD21" s="8"/>
      <c r="AE21" s="2"/>
      <c r="AF21" s="8"/>
      <c r="AG21" s="5"/>
      <c r="AH21" s="4"/>
      <c r="AI21" s="5"/>
      <c r="AJ21" s="5"/>
      <c r="AK21" s="5"/>
      <c r="AL21" s="5"/>
      <c r="AM21" s="8"/>
      <c r="AN21" s="2"/>
      <c r="AO21" s="8"/>
      <c r="AP21" s="9"/>
      <c r="AQ21" s="8"/>
      <c r="AR21" s="5"/>
      <c r="AS21" s="21"/>
      <c r="AT21" s="9"/>
      <c r="AU21" s="8"/>
    </row>
    <row r="22" spans="1:47">
      <c r="A22" s="19" t="s">
        <v>33</v>
      </c>
      <c r="B22" s="19" t="s">
        <v>34</v>
      </c>
      <c r="C22" s="19" t="s">
        <v>35</v>
      </c>
      <c r="D22" s="19" t="s">
        <v>27</v>
      </c>
      <c r="E22" s="77"/>
      <c r="F22" s="71"/>
      <c r="G22" s="2" t="str">
        <f>HYPERLINK(CONCATENATE(TabelleURL!$B$1,"332_ADIF/332AR01.pdf"), "332AR01")</f>
        <v>332AR01</v>
      </c>
      <c r="M22" s="5" t="str">
        <f>HYPERLINK(CONCATENATE(TabelleURL!$B$1,"345_Signalbox/3450258.pdf"), "3450258")</f>
        <v>3450258</v>
      </c>
      <c r="N22" s="5" t="str">
        <f>HYPERLINK(CONCATENATE(TabelleURL!$B$1,"345_Signalbox/3450258-H.pdf"), "3450258-H")</f>
        <v>3450258-H</v>
      </c>
      <c r="P22" s="5" t="str">
        <f>HYPERLINK(CONCATENATE(TabelleURL!$B$1,"345_Signalbox/3450258-W.pdf"), "3450258-W")</f>
        <v>3450258-W</v>
      </c>
      <c r="T22" s="63"/>
      <c r="U22" s="5"/>
      <c r="W22" s="5"/>
      <c r="X22" s="17"/>
      <c r="Y22" s="8"/>
      <c r="AC22" s="18"/>
      <c r="AF22" s="8" t="str">
        <f>HYPERLINK(CONCATENATE(TabelleURL!$B$1,"340_Helfer/3404700.pdf"), "B-3404700")</f>
        <v>B-3404700</v>
      </c>
      <c r="AG22" s="2" t="str">
        <f>HYPERLINK(CONCATENATE(TabelleURL!$B$1,"340_Helfer/3404701.pdf"), "3404701")</f>
        <v>3404701</v>
      </c>
      <c r="AH22" s="4" t="str">
        <f>HYPERLINK(CONCATENATE(TabelleURL!$B$1,"346_CAN2com/3475.pdf"), "3475857")</f>
        <v>3475857</v>
      </c>
      <c r="AP22" s="2" t="str">
        <f>HYPERLINK(CONCATENATE(TabelleURL!$B$1,"367/3674700.pdf"), "3674700")</f>
        <v>3674700</v>
      </c>
      <c r="AU22" s="10"/>
    </row>
    <row r="23" spans="1:47">
      <c r="A23" s="19" t="s">
        <v>33</v>
      </c>
      <c r="B23" s="19" t="s">
        <v>36</v>
      </c>
      <c r="C23" s="19" t="s">
        <v>37</v>
      </c>
      <c r="D23" s="19" t="s">
        <v>38</v>
      </c>
      <c r="E23" s="77"/>
      <c r="F23" s="71" t="s">
        <v>39</v>
      </c>
      <c r="T23" s="63">
        <v>3470005</v>
      </c>
      <c r="U23" s="5" t="s">
        <v>40</v>
      </c>
      <c r="V23" s="4" t="s">
        <v>41</v>
      </c>
      <c r="W23" s="5"/>
      <c r="X23" s="17"/>
      <c r="Y23" s="8"/>
      <c r="AC23" s="18"/>
      <c r="AF23" s="8" t="str">
        <f>HYPERLINK(CONCATENATE(TabelleURL!$B$1,"340_Helfer/3404700.pdf"), "B-3404700")</f>
        <v>B-3404700</v>
      </c>
      <c r="AU23" s="10"/>
    </row>
    <row r="24" spans="1:47">
      <c r="A24" s="19" t="s">
        <v>33</v>
      </c>
      <c r="B24" s="19" t="s">
        <v>42</v>
      </c>
      <c r="C24" s="19" t="s">
        <v>43</v>
      </c>
      <c r="D24" s="19" t="s">
        <v>44</v>
      </c>
      <c r="E24" s="77"/>
      <c r="F24" s="71"/>
      <c r="R24" s="66" t="s">
        <v>45</v>
      </c>
      <c r="S24" s="67" t="str">
        <f>HYPERLINK(CONCATENATE(TabelleURL!$B$1,"341_RC_Interface/3414704.pdf"), "B-3414704")</f>
        <v>B-3414704</v>
      </c>
      <c r="T24" s="63"/>
      <c r="U24" s="5"/>
      <c r="W24" s="5" t="s">
        <v>46</v>
      </c>
      <c r="X24" s="17"/>
      <c r="Y24" s="8"/>
      <c r="AC24" s="18"/>
      <c r="AU24" s="10"/>
    </row>
    <row r="25" spans="1:47" ht="25.5">
      <c r="A25" s="19" t="s">
        <v>33</v>
      </c>
      <c r="B25" s="19" t="s">
        <v>42</v>
      </c>
      <c r="C25" s="19" t="s">
        <v>47</v>
      </c>
      <c r="D25" s="19" t="s">
        <v>48</v>
      </c>
      <c r="E25" s="77" t="s">
        <v>49</v>
      </c>
      <c r="F25" s="71"/>
      <c r="G25" s="2" t="str">
        <f>HYPERLINK(CONCATENATE(TabelleURL!$B$1,"332_ADIF/332AD01.pdf"), "332AD01")</f>
        <v>332AD01</v>
      </c>
      <c r="H25" s="2" t="s">
        <v>50</v>
      </c>
      <c r="M25" s="5" t="str">
        <f>HYPERLINK(CONCATENATE(TabelleURL!$B$1,"345_Signalbox/3450258.pdf"), "3450258")</f>
        <v>3450258</v>
      </c>
      <c r="N25" s="5" t="str">
        <f>HYPERLINK(CONCATENATE(TabelleURL!$B$1,"345_Signalbox/3450258-H.pdf"), "3450258-H")</f>
        <v>3450258-H</v>
      </c>
      <c r="P25" s="5" t="str">
        <f>HYPERLINK(CONCATENATE(TabelleURL!$B$1,"345_Signalbox/3450258-W.pdf"), "3450258-W")</f>
        <v>3450258-W</v>
      </c>
      <c r="R25" s="66" t="s">
        <v>11</v>
      </c>
      <c r="S25" s="67" t="str">
        <f>HYPERLINK(CONCATENATE(TabelleURL!$B$1,"344_URI2/3444703_3444751.pdf"), "B-3444751")</f>
        <v>B-3444751</v>
      </c>
      <c r="T25" s="63">
        <v>3470005</v>
      </c>
      <c r="U25" s="5" t="s">
        <v>51</v>
      </c>
      <c r="V25" s="4" t="s">
        <v>52</v>
      </c>
      <c r="W25" s="5"/>
      <c r="X25" s="17"/>
      <c r="Y25" s="8"/>
      <c r="Z25" s="2" t="s">
        <v>53</v>
      </c>
      <c r="AA25" s="4" t="s">
        <v>54</v>
      </c>
      <c r="AB25" s="2" t="s">
        <v>55</v>
      </c>
      <c r="AC25" s="18"/>
      <c r="AF25" s="8" t="str">
        <f>HYPERLINK(CONCATENATE(TabelleURL!$B$1,"340_Helfer/3404700.pdf"), "B-3404700")</f>
        <v>B-3404700</v>
      </c>
      <c r="AG25" s="2" t="str">
        <f>HYPERLINK(CONCATENATE(TabelleURL!$B$1,"340_Helfer/3404701.pdf"), "3404701")</f>
        <v>3404701</v>
      </c>
      <c r="AH25" s="4" t="str">
        <f>HYPERLINK(CONCATENATE(TabelleURL!$B$1,"346_CAN2com/3475.pdf"), "3475857")</f>
        <v>3475857</v>
      </c>
      <c r="AL25" s="3" t="s">
        <v>7</v>
      </c>
      <c r="AP25" s="2" t="str">
        <f>HYPERLINK(CONCATENATE(TabelleURL!$B$1,"367/3674700.pdf"), "3674700")</f>
        <v>3674700</v>
      </c>
      <c r="AU25" s="10"/>
    </row>
    <row r="26" spans="1:47" ht="25.5">
      <c r="A26" s="19" t="s">
        <v>33</v>
      </c>
      <c r="B26" s="19" t="s">
        <v>42</v>
      </c>
      <c r="C26" s="19" t="s">
        <v>47</v>
      </c>
      <c r="D26" s="19" t="s">
        <v>48</v>
      </c>
      <c r="E26" s="77" t="s">
        <v>56</v>
      </c>
      <c r="F26" s="71"/>
      <c r="G26" s="2" t="str">
        <f>HYPERLINK(CONCATENATE(TabelleURL!$B$1,"332_ADIF/332AD01.pdf"), "332AD01")</f>
        <v>332AD01</v>
      </c>
      <c r="H26" s="2" t="s">
        <v>57</v>
      </c>
      <c r="M26" s="5" t="str">
        <f>HYPERLINK(CONCATENATE(TabelleURL!$B$1,"345_Signalbox/3450258.pdf"), "3450258")</f>
        <v>3450258</v>
      </c>
      <c r="N26" s="5" t="str">
        <f>HYPERLINK(CONCATENATE(TabelleURL!$B$1,"345_Signalbox/3450258-H.pdf"), "3450258-H")</f>
        <v>3450258-H</v>
      </c>
      <c r="P26" s="5" t="str">
        <f>HYPERLINK(CONCATENATE(TabelleURL!$B$1,"345_Signalbox/3450258-W.pdf"), "3450258-W")</f>
        <v>3450258-W</v>
      </c>
      <c r="R26" s="66" t="s">
        <v>11</v>
      </c>
      <c r="S26" s="67" t="str">
        <f>HYPERLINK(CONCATENATE(TabelleURL!$B$1,"344_URI2/3444703.pdf"), "B-3444703")</f>
        <v>B-3444703</v>
      </c>
      <c r="T26" s="63">
        <v>3470005</v>
      </c>
      <c r="U26" s="5" t="s">
        <v>40</v>
      </c>
      <c r="V26" s="4" t="s">
        <v>41</v>
      </c>
      <c r="W26" s="5"/>
      <c r="X26" s="17"/>
      <c r="Y26" s="8"/>
      <c r="Z26" s="2" t="s">
        <v>58</v>
      </c>
      <c r="AA26" s="4" t="s">
        <v>54</v>
      </c>
      <c r="AC26" s="18"/>
      <c r="AF26" s="8" t="str">
        <f>HYPERLINK(CONCATENATE(TabelleURL!$B$1,"340_Helfer/3404700.pdf"), "B-3404700")</f>
        <v>B-3404700</v>
      </c>
      <c r="AG26" s="2" t="str">
        <f>HYPERLINK(CONCATENATE(TabelleURL!$B$1,"340_Helfer/3404701.pdf"), "3404701")</f>
        <v>3404701</v>
      </c>
      <c r="AH26" s="4" t="str">
        <f>HYPERLINK(CONCATENATE(TabelleURL!$B$1,"346_CAN2com/3475.pdf"), "3475857")</f>
        <v>3475857</v>
      </c>
      <c r="AL26" s="3" t="s">
        <v>7</v>
      </c>
      <c r="AP26" s="2" t="str">
        <f>HYPERLINK(CONCATENATE(TabelleURL!$B$1,"367/3674700.pdf"), "3674700")</f>
        <v>3674700</v>
      </c>
      <c r="AU26" s="10"/>
    </row>
    <row r="27" spans="1:47" ht="25.5">
      <c r="A27" s="19" t="s">
        <v>33</v>
      </c>
      <c r="B27" s="19" t="s">
        <v>42</v>
      </c>
      <c r="C27" s="19" t="s">
        <v>47</v>
      </c>
      <c r="D27" s="19" t="s">
        <v>48</v>
      </c>
      <c r="E27" s="77" t="s">
        <v>59</v>
      </c>
      <c r="F27" s="71"/>
      <c r="G27" s="2" t="str">
        <f>HYPERLINK(CONCATENATE(TabelleURL!$B$1,"332_ADIF/332AD01.pdf"), "332AD01")</f>
        <v>332AD01</v>
      </c>
      <c r="I27" s="2" t="str">
        <f>HYPERLINK(CONCATENATE(TabelleURL!$B$1,"342_ADIF/342AD01zi.pdf"), "342AD01/ZI")</f>
        <v>342AD01/ZI</v>
      </c>
      <c r="M27" s="5" t="str">
        <f>HYPERLINK(CONCATENATE(TabelleURL!$B$1,"345_Signalbox/3450258.pdf"), "3450258")</f>
        <v>3450258</v>
      </c>
      <c r="N27" s="5" t="str">
        <f>HYPERLINK(CONCATENATE(TabelleURL!$B$1,"345_Signalbox/3450258-H.pdf"), "3450258-H")</f>
        <v>3450258-H</v>
      </c>
      <c r="P27" s="5" t="str">
        <f>HYPERLINK(CONCATENATE(TabelleURL!$B$1,"345_Signalbox/3450258-W.pdf"), "3450258-W")</f>
        <v>3450258-W</v>
      </c>
      <c r="R27" s="66" t="s">
        <v>45</v>
      </c>
      <c r="S27" s="67" t="str">
        <f>HYPERLINK(CONCATENATE(TabelleURL!$B$1,"341_RC_Interface/3414704.pdf"), "B-3414704")</f>
        <v>B-3414704</v>
      </c>
      <c r="T27" s="63" t="s">
        <v>6</v>
      </c>
      <c r="U27" s="5"/>
      <c r="W27" s="5"/>
      <c r="X27" s="17"/>
      <c r="Y27" s="8"/>
      <c r="AA27" s="4" t="s">
        <v>54</v>
      </c>
      <c r="AC27" s="18"/>
      <c r="AF27" s="8" t="str">
        <f>HYPERLINK(CONCATENATE(TabelleURL!$B$1,"340_Helfer/3404700.pdf"), "B-3404700")</f>
        <v>B-3404700</v>
      </c>
      <c r="AG27" s="2" t="str">
        <f>HYPERLINK(CONCATENATE(TabelleURL!$B$1,"340_Helfer/3404701.pdf"), "3404701")</f>
        <v>3404701</v>
      </c>
      <c r="AH27" s="4" t="str">
        <f>HYPERLINK(CONCATENATE(TabelleURL!$B$1,"346_CAN2com/3475.pdf"), "3475857")</f>
        <v>3475857</v>
      </c>
      <c r="AL27" s="3" t="s">
        <v>7</v>
      </c>
      <c r="AP27" s="2" t="str">
        <f>HYPERLINK(CONCATENATE(TabelleURL!$B$1,"367/3674700.pdf"), "3674700")</f>
        <v>3674700</v>
      </c>
      <c r="AU27" s="10"/>
    </row>
    <row r="28" spans="1:47">
      <c r="A28" s="19" t="s">
        <v>33</v>
      </c>
      <c r="B28" s="19" t="s">
        <v>42</v>
      </c>
      <c r="C28" s="19" t="s">
        <v>60</v>
      </c>
      <c r="D28" s="19" t="s">
        <v>61</v>
      </c>
      <c r="E28" s="77"/>
      <c r="F28" s="71"/>
      <c r="G28" s="2" t="str">
        <f>HYPERLINK(CONCATENATE(TabelleURL!$B$1,"332_ADIF/332VW05.pdf"), "332VW05KA")</f>
        <v>332VW05KA</v>
      </c>
      <c r="H28" s="2" t="s">
        <v>50</v>
      </c>
      <c r="I28" s="2" t="str">
        <f>HYPERLINK(CONCATENATE(TabelleURL!$B$1,"342_ADIF/342VW05ZI.pdf"), "342VW05/0/ZI")</f>
        <v>342VW05/0/ZI</v>
      </c>
      <c r="M28" s="5" t="str">
        <f>HYPERLINK(CONCATENATE(TabelleURL!$B$1,"345_Signalbox/3450276.pdf"), "3450276")</f>
        <v>3450276</v>
      </c>
      <c r="P28" s="5" t="str">
        <f>HYPERLINK(CONCATENATE(TabelleURL!$B$1,"345_Signalbox/3450276-W.pdf"), "3450276-W")</f>
        <v>3450276-W</v>
      </c>
      <c r="T28" s="63"/>
      <c r="U28" s="5"/>
      <c r="W28" s="5"/>
      <c r="X28" s="17"/>
      <c r="Y28" s="8"/>
      <c r="AC28" s="18"/>
      <c r="AF28" s="8" t="str">
        <f>HYPERLINK(CONCATENATE(TabelleURL!$B$1,"340_Helfer/3404700.pdf"), "B-3404700")</f>
        <v>B-3404700</v>
      </c>
      <c r="AG28" s="2" t="str">
        <f>HYPERLINK(CONCATENATE(TabelleURL!$B$1,"340_Helfer/3404701.pdf"), "3404701")</f>
        <v>3404701</v>
      </c>
      <c r="AH28" s="4" t="str">
        <f>HYPERLINK(CONCATENATE(TabelleURL!$B$1,"346_CAN2com/3475.pdf"), "3475857")</f>
        <v>3475857</v>
      </c>
      <c r="AI28" s="5" t="str">
        <f>HYPERLINK(CONCATENATE(TabelleURL!$B$1,"3499_Taxi/34990083.pdf"), "34990083")</f>
        <v>34990083</v>
      </c>
      <c r="AP28" s="2" t="str">
        <f>HYPERLINK(CONCATENATE(TabelleURL!$B$1,"367/3674700.pdf"), "3674700")</f>
        <v>3674700</v>
      </c>
      <c r="AT28" s="2" t="str">
        <f>HYPERLINK(CONCATENATE(TabelleURL!$B$1,"340_Helfer/3406857.pdf"), "B-3406857")</f>
        <v>B-3406857</v>
      </c>
      <c r="AU28" s="10"/>
    </row>
    <row r="29" spans="1:47">
      <c r="A29" s="19" t="s">
        <v>33</v>
      </c>
      <c r="B29" s="19" t="s">
        <v>62</v>
      </c>
      <c r="C29" s="19" t="s">
        <v>63</v>
      </c>
      <c r="D29" s="19" t="s">
        <v>64</v>
      </c>
      <c r="E29" s="77" t="s">
        <v>56</v>
      </c>
      <c r="F29" s="71"/>
      <c r="G29" s="2" t="str">
        <f>HYPERLINK(CONCATENATE(TabelleURL!$B$1,"332_ADIF/332AD01.pdf"), "332AD01")</f>
        <v>332AD01</v>
      </c>
      <c r="I29" s="2" t="str">
        <f>HYPERLINK(CONCATENATE(TabelleURL!$B$1,"342_ADIF/342AD01zi.pdf"), "342AD01/ZI")</f>
        <v>342AD01/ZI</v>
      </c>
      <c r="R29" s="66" t="s">
        <v>11</v>
      </c>
      <c r="S29" s="67" t="str">
        <f>HYPERLINK(CONCATENATE(TabelleURL!$B$1,"344_URI2/3444703.pdf"), "B-3444703")</f>
        <v>B-3444703</v>
      </c>
      <c r="T29" s="63">
        <v>3470005</v>
      </c>
      <c r="U29" s="5" t="s">
        <v>40</v>
      </c>
      <c r="V29" s="4" t="s">
        <v>41</v>
      </c>
      <c r="W29" s="5"/>
      <c r="X29" s="17"/>
      <c r="Y29" s="8"/>
      <c r="Z29" s="2" t="s">
        <v>58</v>
      </c>
      <c r="AC29" s="18"/>
      <c r="AF29" s="8" t="str">
        <f>HYPERLINK(CONCATENATE(TabelleURL!$B$1,"340_Helfer/3404700.pdf"), "B-3404700")</f>
        <v>B-3404700</v>
      </c>
      <c r="AG29" s="2" t="str">
        <f>HYPERLINK(CONCATENATE(TabelleURL!$B$1,"340_Helfer/3404701.pdf"), "3404701")</f>
        <v>3404701</v>
      </c>
      <c r="AL29" s="3" t="s">
        <v>7</v>
      </c>
      <c r="AU29" s="10"/>
    </row>
    <row r="30" spans="1:47">
      <c r="A30" s="19" t="s">
        <v>33</v>
      </c>
      <c r="B30" s="19" t="s">
        <v>62</v>
      </c>
      <c r="C30" s="19" t="s">
        <v>63</v>
      </c>
      <c r="D30" s="19" t="s">
        <v>64</v>
      </c>
      <c r="E30" s="77" t="s">
        <v>49</v>
      </c>
      <c r="F30" s="71"/>
      <c r="G30" s="2" t="str">
        <f>HYPERLINK(CONCATENATE(TabelleURL!$B$1,"332_ADIF/332AD01.pdf"), "332AD01")</f>
        <v>332AD01</v>
      </c>
      <c r="I30" s="2" t="str">
        <f>HYPERLINK(CONCATENATE(TabelleURL!$B$1,"342_ADIF/342AD01zi.pdf"), "342AD01/ZI")</f>
        <v>342AD01/ZI</v>
      </c>
      <c r="R30" s="66" t="s">
        <v>11</v>
      </c>
      <c r="S30" s="67" t="str">
        <f>HYPERLINK(CONCATENATE(TabelleURL!$B$1,"344_URI2/3444703_3444751.pdf"), "B-3444751")</f>
        <v>B-3444751</v>
      </c>
      <c r="T30" s="63">
        <v>3470005</v>
      </c>
      <c r="U30" s="5" t="s">
        <v>51</v>
      </c>
      <c r="V30" s="4" t="s">
        <v>52</v>
      </c>
      <c r="W30" s="5"/>
      <c r="X30" s="17"/>
      <c r="Y30" s="8"/>
      <c r="Z30" s="2" t="s">
        <v>65</v>
      </c>
      <c r="AC30" s="18"/>
      <c r="AF30" s="8" t="str">
        <f>HYPERLINK(CONCATENATE(TabelleURL!$B$1,"340_Helfer/3404700.pdf"), "B-3404700")</f>
        <v>B-3404700</v>
      </c>
      <c r="AL30" s="3" t="s">
        <v>7</v>
      </c>
      <c r="AU30" s="10"/>
    </row>
    <row r="31" spans="1:47">
      <c r="A31" s="19" t="s">
        <v>33</v>
      </c>
      <c r="B31" s="19" t="s">
        <v>62</v>
      </c>
      <c r="C31" s="19" t="s">
        <v>66</v>
      </c>
      <c r="D31" s="19" t="s">
        <v>67</v>
      </c>
      <c r="E31" s="77" t="s">
        <v>56</v>
      </c>
      <c r="F31" s="71"/>
      <c r="G31" s="2" t="str">
        <f>HYPERLINK(CONCATENATE(TabelleURL!$B$1,"332_ADIF/332AD01.pdf"), "332AD01")</f>
        <v>332AD01</v>
      </c>
      <c r="I31" s="2" t="str">
        <f>HYPERLINK(CONCATENATE(TabelleURL!$B$1,"342_ADIF/342AD01zi.pdf"), "342AD01/ZI")</f>
        <v>342AD01/ZI</v>
      </c>
      <c r="R31" s="66" t="s">
        <v>11</v>
      </c>
      <c r="S31" s="67" t="str">
        <f>HYPERLINK(CONCATENATE(TabelleURL!$B$1,"344_URI2/3444703.pdf"), "B-3444703")</f>
        <v>B-3444703</v>
      </c>
      <c r="T31" s="63">
        <v>3470005</v>
      </c>
      <c r="U31" s="5" t="s">
        <v>40</v>
      </c>
      <c r="V31" s="4" t="s">
        <v>41</v>
      </c>
      <c r="W31" s="5"/>
      <c r="X31" s="17"/>
      <c r="Y31" s="8"/>
      <c r="Z31" s="2" t="s">
        <v>58</v>
      </c>
      <c r="AC31" s="18"/>
      <c r="AF31" s="8" t="str">
        <f>HYPERLINK(CONCATENATE(TabelleURL!$B$1,"340_Helfer/3404700.pdf"), "B-3404700")</f>
        <v>B-3404700</v>
      </c>
      <c r="AG31" s="2" t="str">
        <f>HYPERLINK(CONCATENATE(TabelleURL!$B$1,"340_Helfer/3404701.pdf"), "3404701")</f>
        <v>3404701</v>
      </c>
      <c r="AL31" s="3" t="s">
        <v>7</v>
      </c>
      <c r="AU31" s="10"/>
    </row>
    <row r="32" spans="1:47">
      <c r="A32" s="19" t="s">
        <v>33</v>
      </c>
      <c r="B32" s="19" t="s">
        <v>62</v>
      </c>
      <c r="C32" s="19" t="s">
        <v>66</v>
      </c>
      <c r="D32" s="19" t="s">
        <v>67</v>
      </c>
      <c r="E32" s="77" t="s">
        <v>49</v>
      </c>
      <c r="F32" s="71"/>
      <c r="G32" s="2" t="str">
        <f>HYPERLINK(CONCATENATE(TabelleURL!$B$1,"332_ADIF/332AD01.pdf"), "332AD01")</f>
        <v>332AD01</v>
      </c>
      <c r="I32" s="2" t="str">
        <f>HYPERLINK(CONCATENATE(TabelleURL!$B$1,"342_ADIF/342AD01zi.pdf"), "342AD01/ZI")</f>
        <v>342AD01/ZI</v>
      </c>
      <c r="R32" s="66" t="s">
        <v>11</v>
      </c>
      <c r="S32" s="67" t="str">
        <f>HYPERLINK(CONCATENATE(TabelleURL!$B$1,"344_URI2/3444703_3444751.pdf"), "B-3444751")</f>
        <v>B-3444751</v>
      </c>
      <c r="T32" s="63">
        <v>3470005</v>
      </c>
      <c r="U32" s="5" t="s">
        <v>51</v>
      </c>
      <c r="V32" s="4" t="s">
        <v>52</v>
      </c>
      <c r="W32" s="5"/>
      <c r="X32" s="17"/>
      <c r="Y32" s="8"/>
      <c r="Z32" s="2" t="s">
        <v>65</v>
      </c>
      <c r="AC32" s="18"/>
      <c r="AF32" s="8" t="str">
        <f>HYPERLINK(CONCATENATE(TabelleURL!$B$1,"340_Helfer/3404700.pdf"), "B-3404700")</f>
        <v>B-3404700</v>
      </c>
      <c r="AG32" s="2" t="str">
        <f>HYPERLINK(CONCATENATE(TabelleURL!$B$1,"340_Helfer/3404701.pdf"), "3404701")</f>
        <v>3404701</v>
      </c>
      <c r="AL32" s="3" t="s">
        <v>7</v>
      </c>
      <c r="AU32" s="10"/>
    </row>
    <row r="33" spans="1:47">
      <c r="A33" s="19" t="s">
        <v>33</v>
      </c>
      <c r="B33" s="19" t="s">
        <v>62</v>
      </c>
      <c r="C33" s="19" t="s">
        <v>68</v>
      </c>
      <c r="D33" s="19" t="s">
        <v>69</v>
      </c>
      <c r="E33" s="77"/>
      <c r="F33" s="71"/>
      <c r="G33" s="2" t="str">
        <f>HYPERLINK(CONCATENATE(TabelleURL!$B$1,"332_ADIF/332AD03.pdf"), "332AD03KA")</f>
        <v>332AD03KA</v>
      </c>
      <c r="M33" s="5" t="str">
        <f>HYPERLINK(CONCATENATE(TabelleURL!$B$1,"345_Signalbox/3450251.pdf"), "3450251")</f>
        <v>3450251</v>
      </c>
      <c r="T33" s="63"/>
      <c r="U33" s="5"/>
      <c r="W33" s="5"/>
      <c r="X33" s="17"/>
      <c r="Y33" s="8"/>
      <c r="AB33" s="2" t="s">
        <v>55</v>
      </c>
      <c r="AC33" s="18"/>
      <c r="AF33" s="8" t="str">
        <f>HYPERLINK(CONCATENATE(TabelleURL!$B$1,"340_Helfer/3404700.pdf"), "B-3404700")</f>
        <v>B-3404700</v>
      </c>
      <c r="AG33" s="2" t="str">
        <f>HYPERLINK(CONCATENATE(TabelleURL!$B$1,"340_Helfer/3404701.pdf"), "3404701")</f>
        <v>3404701</v>
      </c>
      <c r="AH33" s="4" t="str">
        <f>HYPERLINK(CONCATENATE(TabelleURL!$B$1,"346_CAN2com/3475802.pdf"), "3475802")</f>
        <v>3475802</v>
      </c>
      <c r="AI33" s="5" t="str">
        <f>HYPERLINK(CONCATENATE(TabelleURL!$B$1,"3499_Taxi/34990003.pdf"), "34990003")</f>
        <v>34990003</v>
      </c>
      <c r="AL33" s="3" t="s">
        <v>7</v>
      </c>
      <c r="AP33" s="2" t="str">
        <f>HYPERLINK(CONCATENATE(TabelleURL!$B$1,"367/3674700.pdf"), "3674700")</f>
        <v>3674700</v>
      </c>
      <c r="AQ33" s="7" t="s">
        <v>70</v>
      </c>
      <c r="AR33" s="3" t="s">
        <v>71</v>
      </c>
      <c r="AU33" s="10"/>
    </row>
    <row r="34" spans="1:47">
      <c r="A34" s="19" t="s">
        <v>33</v>
      </c>
      <c r="B34" s="19" t="s">
        <v>62</v>
      </c>
      <c r="C34" s="19" t="s">
        <v>72</v>
      </c>
      <c r="D34" s="19" t="s">
        <v>73</v>
      </c>
      <c r="E34" s="77"/>
      <c r="F34" s="71"/>
      <c r="G34" s="2" t="str">
        <f>HYPERLINK(CONCATENATE(TabelleURL!$B$1,"332_ADIF/332VW05.pdf"), "332VW05KA")</f>
        <v>332VW05KA</v>
      </c>
      <c r="I34" s="2" t="str">
        <f>HYPERLINK(CONCATENATE(TabelleURL!$B$1,"342_ADIF/342VW05ZI.pdf"), "342VW05/0/ZI")</f>
        <v>342VW05/0/ZI</v>
      </c>
      <c r="M34" s="5" t="str">
        <f>HYPERLINK(CONCATENATE(TabelleURL!$B$1,"345_Signalbox/3450276.pdf"), "3450276")</f>
        <v>3450276</v>
      </c>
      <c r="P34" s="5" t="str">
        <f>HYPERLINK(CONCATENATE(TabelleURL!$B$1,"345_Signalbox/3450276-W.pdf"), "3450276-W")</f>
        <v>3450276-W</v>
      </c>
      <c r="T34" s="63"/>
      <c r="U34" s="5"/>
      <c r="W34" s="5"/>
      <c r="X34" s="17"/>
      <c r="Y34" s="8"/>
      <c r="AC34" s="18"/>
      <c r="AF34" s="8" t="str">
        <f>HYPERLINK(CONCATENATE(TabelleURL!$B$1,"340_Helfer/3404700.pdf"), "B-3404700")</f>
        <v>B-3404700</v>
      </c>
      <c r="AG34" s="2" t="str">
        <f>HYPERLINK(CONCATENATE(TabelleURL!$B$1,"340_Helfer/3404701.pdf"), "3404701")</f>
        <v>3404701</v>
      </c>
      <c r="AH34" s="4" t="str">
        <f>HYPERLINK(CONCATENATE(TabelleURL!$B$1,"346_CAN2com/3475.pdf"), "3475857")</f>
        <v>3475857</v>
      </c>
      <c r="AP34" s="2"/>
      <c r="AT34" s="2" t="str">
        <f>HYPERLINK(CONCATENATE(TabelleURL!$B$1,"340_Helfer/3406857.pdf"), "B-3406857")</f>
        <v>B-3406857</v>
      </c>
      <c r="AU34" s="10"/>
    </row>
    <row r="35" spans="1:47">
      <c r="A35" s="19" t="s">
        <v>33</v>
      </c>
      <c r="B35" s="19" t="s">
        <v>74</v>
      </c>
      <c r="C35" s="19" t="s">
        <v>75</v>
      </c>
      <c r="D35" s="19" t="s">
        <v>76</v>
      </c>
      <c r="E35" s="77"/>
      <c r="F35" s="71"/>
      <c r="G35" s="2" t="str">
        <f>HYPERLINK(CONCATENATE(TabelleURL!$B$1,"332_ADIF/332AD03.pdf"), "332AD03KA")</f>
        <v>332AD03KA</v>
      </c>
      <c r="M35" s="5" t="str">
        <f>HYPERLINK(CONCATENATE(TabelleURL!$B$1,"345_Signalbox/3450251.pdf"), "3450251")</f>
        <v>3450251</v>
      </c>
      <c r="T35" s="63"/>
      <c r="U35" s="5"/>
      <c r="W35" s="5"/>
      <c r="X35" s="17"/>
      <c r="Y35" s="8"/>
      <c r="AC35" s="18"/>
      <c r="AF35" s="8" t="str">
        <f>HYPERLINK(CONCATENATE(TabelleURL!$B$1,"340_Helfer/3404700.pdf"), "B-3404700")</f>
        <v>B-3404700</v>
      </c>
      <c r="AG35" s="2" t="str">
        <f>HYPERLINK(CONCATENATE(TabelleURL!$B$1,"340_Helfer/3404701.pdf"), "3404701")</f>
        <v>3404701</v>
      </c>
      <c r="AH35" s="4" t="str">
        <f>HYPERLINK(CONCATENATE(TabelleURL!$B$1,"346_CAN2com/3475802.pdf"), "3475802")</f>
        <v>3475802</v>
      </c>
      <c r="AP35" s="2" t="str">
        <f>HYPERLINK(CONCATENATE(TabelleURL!$B$1,"367/3674700.pdf"), "3674700")</f>
        <v>3674700</v>
      </c>
      <c r="AU35" s="10"/>
    </row>
    <row r="36" spans="1:47" s="22" customFormat="1">
      <c r="A36" s="19" t="s">
        <v>33</v>
      </c>
      <c r="B36" s="19" t="s">
        <v>74</v>
      </c>
      <c r="C36" s="19" t="s">
        <v>77</v>
      </c>
      <c r="D36" s="19" t="s">
        <v>25</v>
      </c>
      <c r="E36" s="77"/>
      <c r="F36" s="71"/>
      <c r="G36" s="2" t="str">
        <f>HYPERLINK(CONCATENATE(TabelleURL!$B$1,"332_ADIF/332VW05.pdf"), "332VW05KA")</f>
        <v>332VW05KA</v>
      </c>
      <c r="H36" s="2"/>
      <c r="I36" s="2" t="str">
        <f>HYPERLINK(CONCATENATE(TabelleURL!$B$1,"342_ADIF/342VW05ZI.pdf"), "342VW05/0/ZI")</f>
        <v>342VW05/0/ZI</v>
      </c>
      <c r="J36" s="2"/>
      <c r="K36" s="3"/>
      <c r="L36" s="4"/>
      <c r="M36" s="5" t="str">
        <f>HYPERLINK(CONCATENATE(TabelleURL!$B$1,"345_Signalbox/3450276.pdf"), "3450276")</f>
        <v>3450276</v>
      </c>
      <c r="N36" s="5"/>
      <c r="O36" s="5"/>
      <c r="P36" s="5" t="str">
        <f>HYPERLINK(CONCATENATE(TabelleURL!$B$1,"345_Signalbox/3450276-W.pdf"), "3450276-W")</f>
        <v>3450276-W</v>
      </c>
      <c r="Q36" s="61"/>
      <c r="R36" s="66"/>
      <c r="S36" s="67"/>
      <c r="T36" s="63"/>
      <c r="U36" s="5"/>
      <c r="V36" s="4"/>
      <c r="W36" s="5"/>
      <c r="X36" s="17"/>
      <c r="Y36" s="8"/>
      <c r="Z36" s="2"/>
      <c r="AA36" s="4"/>
      <c r="AB36" s="2"/>
      <c r="AC36" s="17"/>
      <c r="AD36" s="8"/>
      <c r="AE36" s="2"/>
      <c r="AF36" s="8" t="str">
        <f>HYPERLINK(CONCATENATE(TabelleURL!$B$1,"340_Helfer/3404700.pdf"), "B-3404700")</f>
        <v>B-3404700</v>
      </c>
      <c r="AG36" s="2" t="str">
        <f>HYPERLINK(CONCATENATE(TabelleURL!$B$1,"340_Helfer/3404701.pdf"), "3404701")</f>
        <v>3404701</v>
      </c>
      <c r="AH36" s="4" t="str">
        <f>HYPERLINK(CONCATENATE(TabelleURL!$B$1,"346_CAN2com/3475.pdf"), "3475857")</f>
        <v>3475857</v>
      </c>
      <c r="AI36" s="5"/>
      <c r="AJ36" s="5"/>
      <c r="AK36" s="5"/>
      <c r="AL36" s="5"/>
      <c r="AM36" s="8"/>
      <c r="AN36" s="2"/>
      <c r="AO36" s="8"/>
      <c r="AP36" s="2"/>
      <c r="AQ36" s="8"/>
      <c r="AR36" s="5"/>
      <c r="AS36" s="21"/>
      <c r="AT36" s="2" t="str">
        <f>HYPERLINK(CONCATENATE(TabelleURL!$B$1,"340_Helfer/3406857.pdf"), "B-3406857")</f>
        <v>B-3406857</v>
      </c>
      <c r="AU36" s="21"/>
    </row>
    <row r="37" spans="1:47">
      <c r="A37" s="19" t="s">
        <v>33</v>
      </c>
      <c r="B37" s="19" t="s">
        <v>78</v>
      </c>
      <c r="C37" s="19" t="s">
        <v>79</v>
      </c>
      <c r="D37" s="19" t="s">
        <v>80</v>
      </c>
      <c r="E37" s="77" t="s">
        <v>56</v>
      </c>
      <c r="F37" s="71"/>
      <c r="G37" s="2" t="str">
        <f>HYPERLINK(CONCATENATE(TabelleURL!$B$1,"332_ADIF/332AD01.pdf"), "332AD01")</f>
        <v>332AD01</v>
      </c>
      <c r="I37" s="2" t="str">
        <f>HYPERLINK(CONCATENATE(TabelleURL!$B$1,"342_ADIF/342AD01zi.pdf"), "342AD01/ZI")</f>
        <v>342AD01/ZI</v>
      </c>
      <c r="R37" s="66" t="s">
        <v>11</v>
      </c>
      <c r="S37" s="67" t="str">
        <f>HYPERLINK(CONCATENATE(TabelleURL!$B$1,"344_URI2/3444703.pdf"), "B-3444703")</f>
        <v>B-3444703</v>
      </c>
      <c r="T37" s="63"/>
      <c r="U37" s="5"/>
      <c r="V37" s="4" t="s">
        <v>41</v>
      </c>
      <c r="W37" s="5"/>
      <c r="X37" s="17"/>
      <c r="Y37" s="8"/>
      <c r="Z37" s="2" t="s">
        <v>58</v>
      </c>
      <c r="AC37" s="18"/>
      <c r="AF37" s="8" t="str">
        <f>HYPERLINK(CONCATENATE(TabelleURL!$B$1,"340_Helfer/3404700.pdf"), "B-3404700")</f>
        <v>B-3404700</v>
      </c>
      <c r="AG37" s="2"/>
      <c r="AL37" s="3" t="s">
        <v>7</v>
      </c>
      <c r="AU37" s="10"/>
    </row>
    <row r="38" spans="1:47">
      <c r="A38" s="19" t="s">
        <v>33</v>
      </c>
      <c r="B38" s="19" t="s">
        <v>78</v>
      </c>
      <c r="C38" s="19" t="s">
        <v>79</v>
      </c>
      <c r="D38" s="19" t="s">
        <v>80</v>
      </c>
      <c r="E38" s="77" t="s">
        <v>49</v>
      </c>
      <c r="F38" s="71"/>
      <c r="G38" s="2" t="str">
        <f>HYPERLINK(CONCATENATE(TabelleURL!$B$1,"332_ADIF/332AD01.pdf"), "332AD01")</f>
        <v>332AD01</v>
      </c>
      <c r="I38" s="2" t="str">
        <f>HYPERLINK(CONCATENATE(TabelleURL!$B$1,"342_ADIF/342AD01zi.pdf"), "342AD01/ZI")</f>
        <v>342AD01/ZI</v>
      </c>
      <c r="R38" s="66" t="s">
        <v>11</v>
      </c>
      <c r="S38" s="67" t="str">
        <f>HYPERLINK(CONCATENATE(TabelleURL!$B$1,"344_URI2/3444703_3444751.pdf"), "B-3444751")</f>
        <v>B-3444751</v>
      </c>
      <c r="T38" s="63"/>
      <c r="U38" s="5"/>
      <c r="V38" s="4" t="s">
        <v>52</v>
      </c>
      <c r="W38" s="5"/>
      <c r="X38" s="17"/>
      <c r="Y38" s="8"/>
      <c r="Z38" s="2" t="s">
        <v>65</v>
      </c>
      <c r="AC38" s="18"/>
      <c r="AF38" s="8" t="str">
        <f>HYPERLINK(CONCATENATE(TabelleURL!$B$1,"340_Helfer/3404700.pdf"), "B-3404700")</f>
        <v>B-3404700</v>
      </c>
      <c r="AL38" s="3" t="s">
        <v>7</v>
      </c>
      <c r="AU38" s="10"/>
    </row>
    <row r="39" spans="1:47">
      <c r="A39" s="19" t="s">
        <v>33</v>
      </c>
      <c r="B39" s="19" t="s">
        <v>78</v>
      </c>
      <c r="C39" s="19" t="s">
        <v>81</v>
      </c>
      <c r="D39" s="19" t="s">
        <v>82</v>
      </c>
      <c r="E39" s="77"/>
      <c r="F39" s="71"/>
      <c r="G39" s="2" t="str">
        <f>HYPERLINK(CONCATENATE(TabelleURL!$B$1,"332_ADIF/332AD02.pdf"), "332AD02KA")</f>
        <v>332AD02KA</v>
      </c>
      <c r="M39" s="5" t="str">
        <f>HYPERLINK(CONCATENATE(TabelleURL!$B$1,"345_Signalbox/3450252.pdf"), "3450252")</f>
        <v>3450252</v>
      </c>
      <c r="T39" s="63"/>
      <c r="U39" s="5"/>
      <c r="W39" s="5"/>
      <c r="X39" s="17"/>
      <c r="Y39" s="8"/>
      <c r="AC39" s="18"/>
      <c r="AF39" s="8" t="str">
        <f>HYPERLINK(CONCATENATE(TabelleURL!$B$1,"340_Helfer/3404700.pdf"), "B-3404700")</f>
        <v>B-3404700</v>
      </c>
      <c r="AG39" s="2" t="str">
        <f>HYPERLINK(CONCATENATE(TabelleURL!$B$1,"340_Helfer/3404701.pdf"), "3404701")</f>
        <v>3404701</v>
      </c>
      <c r="AH39" s="4" t="str">
        <f>HYPERLINK(CONCATENATE(TabelleURL!$B$1,"346_CAN2com/346300XX_can2com_de.pdf"), "34630001")</f>
        <v>34630001</v>
      </c>
      <c r="AI39" s="5" t="str">
        <f>HYPERLINK(CONCATENATE(TabelleURL!$B$1,"3499_Taxi/34990001.pdf"), "34990001")</f>
        <v>34990001</v>
      </c>
      <c r="AL39" s="3" t="s">
        <v>7</v>
      </c>
      <c r="AQ39" s="7" t="s">
        <v>83</v>
      </c>
      <c r="AR39" s="3" t="s">
        <v>84</v>
      </c>
      <c r="AU39" s="10"/>
    </row>
    <row r="40" spans="1:47">
      <c r="A40" s="19" t="s">
        <v>33</v>
      </c>
      <c r="B40" s="19" t="s">
        <v>78</v>
      </c>
      <c r="C40" s="19" t="s">
        <v>85</v>
      </c>
      <c r="D40" s="19" t="s">
        <v>86</v>
      </c>
      <c r="E40" s="77"/>
      <c r="F40" s="71"/>
      <c r="G40" s="2" t="str">
        <f>HYPERLINK(CONCATENATE(TabelleURL!$B$1,"332_AIDF/332AD04.pdf"), "332AD04KA")</f>
        <v>332AD04KA</v>
      </c>
      <c r="M40" s="5" t="str">
        <f>HYPERLINK(CONCATENATE(TabelleURL!$B$1,"345_Signalbox/3450265.pdf"), "3450265")</f>
        <v>3450265</v>
      </c>
      <c r="T40" s="63"/>
      <c r="U40" s="5"/>
      <c r="W40" s="5"/>
      <c r="X40" s="17"/>
      <c r="Y40" s="8"/>
      <c r="AC40" s="18"/>
      <c r="AF40" s="8" t="str">
        <f>HYPERLINK(CONCATENATE(TabelleURL!$B$1,"340_Helfer/3404700.pdf"), "B-3404700")</f>
        <v>B-3404700</v>
      </c>
      <c r="AG40" s="2" t="str">
        <f>HYPERLINK(CONCATENATE(TabelleURL!$B$1,"340_Helfer/3404701.pdf"), "3404701")</f>
        <v>3404701</v>
      </c>
      <c r="AH40" s="4" t="str">
        <f>HYPERLINK(CONCATENATE(TabelleURL!$B$1,"346_CAN2com/3475802.pdf"), "3475802")</f>
        <v>3475802</v>
      </c>
      <c r="AI40" s="5" t="str">
        <f>HYPERLINK(CONCATENATE(TabelleURL!$B$1,"3499_Taxi/34990004.pdf"), "34990004")</f>
        <v>34990004</v>
      </c>
      <c r="AL40" s="3" t="s">
        <v>7</v>
      </c>
      <c r="AQ40" s="7" t="s">
        <v>70</v>
      </c>
      <c r="AU40" s="10"/>
    </row>
    <row r="41" spans="1:47">
      <c r="A41" s="19" t="s">
        <v>33</v>
      </c>
      <c r="B41" s="19" t="s">
        <v>87</v>
      </c>
      <c r="C41" s="19" t="s">
        <v>85</v>
      </c>
      <c r="D41" s="19" t="s">
        <v>27</v>
      </c>
      <c r="E41" s="77"/>
      <c r="F41" s="71"/>
      <c r="G41" s="2" t="str">
        <f>HYPERLINK(CONCATENATE(TabelleURL!$B$1,"332_AIDF/332AD04.pdf"), "332AD04KA")</f>
        <v>332AD04KA</v>
      </c>
      <c r="T41" s="63"/>
      <c r="U41" s="5"/>
      <c r="W41" s="5"/>
      <c r="X41" s="17"/>
      <c r="Y41" s="8"/>
      <c r="AC41" s="18"/>
      <c r="AF41" s="8" t="str">
        <f>HYPERLINK(CONCATENATE(TabelleURL!$B$1,"340_Helfer/3404700.pdf"), "B-3404700")</f>
        <v>B-3404700</v>
      </c>
      <c r="AG41" s="2" t="str">
        <f>HYPERLINK(CONCATENATE(TabelleURL!$B$1,"340_Helfer/3404701.pdf"), "3404701")</f>
        <v>3404701</v>
      </c>
      <c r="AI41" s="5" t="str">
        <f>HYPERLINK(CONCATENATE(TabelleURL!$B$1,"3499_Taxi/34990004.pdf"), "34990004")</f>
        <v>34990004</v>
      </c>
      <c r="AP41" s="2"/>
      <c r="AU41" s="10"/>
    </row>
    <row r="42" spans="1:47">
      <c r="A42" s="19" t="s">
        <v>33</v>
      </c>
      <c r="B42" s="19" t="s">
        <v>88</v>
      </c>
      <c r="C42" s="19" t="s">
        <v>89</v>
      </c>
      <c r="D42" s="19" t="s">
        <v>90</v>
      </c>
      <c r="E42" s="77"/>
      <c r="F42" s="71"/>
      <c r="T42" s="63"/>
      <c r="U42" s="5"/>
      <c r="W42" s="5"/>
      <c r="X42" s="17"/>
      <c r="Y42" s="8"/>
      <c r="AC42" s="18"/>
      <c r="AF42" s="8" t="str">
        <f>HYPERLINK(CONCATENATE(TabelleURL!$B$1,"340_Helfer/3404700.pdf"), "B-3404700")</f>
        <v>B-3404700</v>
      </c>
      <c r="AL42" s="3" t="s">
        <v>7</v>
      </c>
      <c r="AU42" s="10"/>
    </row>
    <row r="43" spans="1:47">
      <c r="A43" s="19" t="s">
        <v>33</v>
      </c>
      <c r="B43" s="19" t="s">
        <v>88</v>
      </c>
      <c r="C43" s="19" t="s">
        <v>91</v>
      </c>
      <c r="D43" s="19" t="s">
        <v>92</v>
      </c>
      <c r="E43" s="77"/>
      <c r="F43" s="71"/>
      <c r="G43" s="2" t="str">
        <f>HYPERLINK(CONCATENATE(TabelleURL!$B$1,"332_ADIF/332AD02.pdf"), "332AD02KA")</f>
        <v>332AD02KA</v>
      </c>
      <c r="T43" s="63"/>
      <c r="U43" s="5"/>
      <c r="W43" s="5"/>
      <c r="X43" s="17"/>
      <c r="Y43" s="8"/>
      <c r="AC43" s="18"/>
      <c r="AF43" s="8" t="str">
        <f>HYPERLINK(CONCATENATE(TabelleURL!$B$1,"340_Helfer/3404700.pdf"), "B-3404700")</f>
        <v>B-3404700</v>
      </c>
      <c r="AG43" s="2" t="str">
        <f>HYPERLINK(CONCATENATE(TabelleURL!$B$1,"340_Helfer/3404701.pdf"), "3404701")</f>
        <v>3404701</v>
      </c>
      <c r="AI43" s="5" t="str">
        <f>HYPERLINK(CONCATENATE(TabelleURL!$B$1,"3499_Taxi/34990002.pdf"), "34990002")</f>
        <v>34990002</v>
      </c>
      <c r="AL43" s="3" t="s">
        <v>7</v>
      </c>
      <c r="AU43" s="10"/>
    </row>
    <row r="44" spans="1:47">
      <c r="A44" s="19" t="s">
        <v>33</v>
      </c>
      <c r="B44" s="19" t="s">
        <v>88</v>
      </c>
      <c r="C44" s="19" t="s">
        <v>93</v>
      </c>
      <c r="D44" s="19" t="s">
        <v>27</v>
      </c>
      <c r="E44" s="77"/>
      <c r="F44" s="71"/>
      <c r="G44" s="2" t="str">
        <f>HYPERLINK(CONCATENATE(TabelleURL!$B$1,"332_AIDF/332AD04.pdf"), "332AD04KA")</f>
        <v>332AD04KA</v>
      </c>
      <c r="M44" s="5" t="str">
        <f>HYPERLINK(CONCATENATE(TabelleURL!$B$1,"345_Signalbox/3450265.pdf"), "3450265")</f>
        <v>3450265</v>
      </c>
      <c r="T44" s="63"/>
      <c r="U44" s="5"/>
      <c r="W44" s="5"/>
      <c r="X44" s="17"/>
      <c r="Y44" s="8"/>
      <c r="AC44" s="18"/>
      <c r="AF44" s="8" t="str">
        <f>HYPERLINK(CONCATENATE(TabelleURL!$B$1,"340_Helfer/3404700.pdf"), "B-3404700")</f>
        <v>B-3404700</v>
      </c>
      <c r="AG44" s="2" t="str">
        <f>HYPERLINK(CONCATENATE(TabelleURL!$B$1,"340_Helfer/3404701.pdf"), "3404701")</f>
        <v>3404701</v>
      </c>
      <c r="AI44" s="5" t="str">
        <f>HYPERLINK(CONCATENATE(TabelleURL!$B$1,"3499_Taxi/34990005.pdf"), "34990005")</f>
        <v>34990005</v>
      </c>
      <c r="AL44" s="3" t="s">
        <v>7</v>
      </c>
      <c r="AQ44" s="7" t="s">
        <v>70</v>
      </c>
      <c r="AU44" s="10"/>
    </row>
    <row r="45" spans="1:47">
      <c r="A45" s="19" t="s">
        <v>33</v>
      </c>
      <c r="B45" s="19" t="s">
        <v>94</v>
      </c>
      <c r="C45" s="19"/>
      <c r="D45" s="19" t="s">
        <v>25</v>
      </c>
      <c r="E45" s="77"/>
      <c r="F45" s="71"/>
      <c r="T45" s="63"/>
      <c r="U45" s="5"/>
      <c r="W45" s="5"/>
      <c r="X45" s="17"/>
      <c r="Y45" s="8"/>
      <c r="AC45" s="18"/>
      <c r="AG45" s="2"/>
      <c r="AU45" s="10"/>
    </row>
    <row r="46" spans="1:47" ht="22.5">
      <c r="A46" s="19" t="s">
        <v>33</v>
      </c>
      <c r="B46" s="19" t="s">
        <v>95</v>
      </c>
      <c r="C46" s="19" t="s">
        <v>96</v>
      </c>
      <c r="D46" s="19" t="s">
        <v>97</v>
      </c>
      <c r="E46" s="77"/>
      <c r="F46" s="71" t="s">
        <v>98</v>
      </c>
      <c r="G46" s="2" t="str">
        <f>HYPERLINK(CONCATENATE(TabelleURL!$B$1,"332_ADIF/332VW01.pdf"), "332VW01KA")</f>
        <v>332VW01KA</v>
      </c>
      <c r="H46" s="2" t="s">
        <v>50</v>
      </c>
      <c r="T46" s="63"/>
      <c r="U46" s="5"/>
      <c r="W46" s="5"/>
      <c r="X46" s="17"/>
      <c r="Y46" s="8"/>
      <c r="AC46" s="18"/>
      <c r="AF46" s="8" t="str">
        <f>HYPERLINK(CONCATENATE(TabelleURL!$B$1,"340_Helfer/3404700.pdf"), "B-3404700")</f>
        <v>B-3404700</v>
      </c>
      <c r="AG46" s="2" t="str">
        <f>HYPERLINK(CONCATENATE(TabelleURL!$B$1,"340_Helfer/3404701.pdf"), "3404701")</f>
        <v>3404701</v>
      </c>
      <c r="AH46" s="4" t="str">
        <f>HYPERLINK(CONCATENATE(TabelleURL!$B$1,"346_CAN2com/3475.pdf"), "3475857")</f>
        <v>3475857</v>
      </c>
      <c r="AP46" s="2" t="str">
        <f>HYPERLINK(CONCATENATE(TabelleURL!$B$1,"367/3674700.pdf"), "3674700")</f>
        <v>3674700</v>
      </c>
      <c r="AU46" s="10"/>
    </row>
    <row r="47" spans="1:47">
      <c r="A47" s="19" t="s">
        <v>33</v>
      </c>
      <c r="B47" s="19" t="s">
        <v>95</v>
      </c>
      <c r="C47" s="19" t="s">
        <v>99</v>
      </c>
      <c r="D47" s="19" t="s">
        <v>73</v>
      </c>
      <c r="E47" s="77"/>
      <c r="F47" s="71"/>
      <c r="G47" s="2" t="str">
        <f>HYPERLINK(CONCATENATE(TabelleURL!$B$1,"332_ADIF/332VW05.pdf"), "332VW05KA")</f>
        <v>332VW05KA</v>
      </c>
      <c r="H47" s="2" t="s">
        <v>50</v>
      </c>
      <c r="I47" s="2" t="str">
        <f>HYPERLINK(CONCATENATE(TabelleURL!$B$1,"342_ADIF/342VW05ZI.pdf"), "342VW05/0/ZI")</f>
        <v>342VW05/0/ZI</v>
      </c>
      <c r="M47" s="5" t="str">
        <f>HYPERLINK(CONCATENATE(TabelleURL!$B$1,"345_Signalbox/3450276.pdf"), "3450276")</f>
        <v>3450276</v>
      </c>
      <c r="P47" s="5" t="str">
        <f>HYPERLINK(CONCATENATE(TabelleURL!$B$1,"345_Signalbox/3450276-W.pdf"), "3450276-W")</f>
        <v>3450276-W</v>
      </c>
      <c r="T47" s="63"/>
      <c r="U47" s="5"/>
      <c r="W47" s="5"/>
      <c r="X47" s="17"/>
      <c r="Y47" s="8"/>
      <c r="AC47" s="18"/>
      <c r="AF47" s="8" t="str">
        <f>HYPERLINK(CONCATENATE(TabelleURL!$B$1,"340_Helfer/3404700.pdf"), "B-3404700")</f>
        <v>B-3404700</v>
      </c>
      <c r="AG47" s="2" t="str">
        <f>HYPERLINK(CONCATENATE(TabelleURL!$B$1,"340_Helfer/3404701.pdf"), "3404701")</f>
        <v>3404701</v>
      </c>
      <c r="AH47" s="4" t="str">
        <f>HYPERLINK(CONCATENATE(TabelleURL!$B$1,"347_CAN2COM/3475857.pdf"), "3475857")</f>
        <v>3475857</v>
      </c>
      <c r="AP47" s="2" t="str">
        <f>HYPERLINK(CONCATENATE(TabelleURL!$B$1,"367/3674700.pdf"), "3674700")</f>
        <v>3674700</v>
      </c>
      <c r="AU47" s="10"/>
    </row>
    <row r="48" spans="1:47">
      <c r="A48" s="19" t="s">
        <v>33</v>
      </c>
      <c r="B48" s="19" t="s">
        <v>100</v>
      </c>
      <c r="C48" s="19" t="s">
        <v>101</v>
      </c>
      <c r="D48" s="19" t="s">
        <v>102</v>
      </c>
      <c r="E48" s="77"/>
      <c r="F48" s="71"/>
      <c r="G48" s="2" t="str">
        <f>HYPERLINK(CONCATENATE(TabelleURL!$B$1,"332_ADIF/332AD03.pdf"), "332AD03KA")</f>
        <v>332AD03KA</v>
      </c>
      <c r="M48" s="5" t="str">
        <f>HYPERLINK(CONCATENATE(TabelleURL!$B$1,"345_Signalbox/3450251.pdf"), "3450251")</f>
        <v>3450251</v>
      </c>
      <c r="T48" s="63"/>
      <c r="U48" s="5"/>
      <c r="W48" s="5"/>
      <c r="X48" s="17"/>
      <c r="Y48" s="8"/>
      <c r="AC48" s="18"/>
      <c r="AF48" s="8" t="str">
        <f>HYPERLINK(CONCATENATE(TabelleURL!$B$1,"340_Helfer/3404700.pdf"), "B-3404700")</f>
        <v>B-3404700</v>
      </c>
      <c r="AG48" s="2" t="str">
        <f>HYPERLINK(CONCATENATE(TabelleURL!$B$1,"340_Helfer/3404701.pdf"), "3404701")</f>
        <v>3404701</v>
      </c>
      <c r="AH48" s="4" t="str">
        <f>HYPERLINK(CONCATENATE(TabelleURL!$B$1,"346_CAN2com/3475802.pdf"), "3475802")</f>
        <v>3475802</v>
      </c>
      <c r="AI48" s="5" t="str">
        <f>HYPERLINK(CONCATENATE(TabelleURL!$B$1,"3499_Taxi/34990003.pdf"), "34990003")</f>
        <v>34990003</v>
      </c>
      <c r="AL48" s="3" t="s">
        <v>7</v>
      </c>
      <c r="AP48" s="2" t="str">
        <f>HYPERLINK(CONCATENATE(TabelleURL!$B$1,"367/3674700.pdf"), "3674700")</f>
        <v>3674700</v>
      </c>
      <c r="AU48" s="10"/>
    </row>
    <row r="49" spans="1:47">
      <c r="A49" s="19" t="s">
        <v>33</v>
      </c>
      <c r="B49" s="19" t="s">
        <v>100</v>
      </c>
      <c r="C49" s="19" t="s">
        <v>103</v>
      </c>
      <c r="D49" s="19" t="s">
        <v>104</v>
      </c>
      <c r="E49" s="77"/>
      <c r="F49" s="71"/>
      <c r="G49" s="2" t="str">
        <f>HYPERLINK(CONCATENATE(TabelleURL!$B$1,"332_ADIF/332VW05.pdf"), "332VW05KA")</f>
        <v>332VW05KA</v>
      </c>
      <c r="I49" s="2" t="str">
        <f>HYPERLINK(CONCATENATE(TabelleURL!$B$1,"342_ADIF/342VW05ZI.pdf"), "342VW05/0/ZI")</f>
        <v>342VW05/0/ZI</v>
      </c>
      <c r="M49" s="5" t="str">
        <f>HYPERLINK(CONCATENATE(TabelleURL!$B$1,"345_Signalbox/3450276.pdf"), "3450276")</f>
        <v>3450276</v>
      </c>
      <c r="P49" s="5" t="str">
        <f>HYPERLINK(CONCATENATE(TabelleURL!$B$1,"345_Signalbox/3450276-W.pdf"), "3450276-W")</f>
        <v>3450276-W</v>
      </c>
      <c r="T49" s="63"/>
      <c r="U49" s="5"/>
      <c r="W49" s="5"/>
      <c r="X49" s="17"/>
      <c r="Y49" s="8"/>
      <c r="AC49" s="18"/>
      <c r="AG49" s="2"/>
      <c r="AP49" s="2"/>
      <c r="AU49" s="10"/>
    </row>
    <row r="50" spans="1:47">
      <c r="A50" s="19" t="s">
        <v>33</v>
      </c>
      <c r="B50" s="19" t="s">
        <v>105</v>
      </c>
      <c r="C50" s="19" t="s">
        <v>106</v>
      </c>
      <c r="D50" s="19" t="s">
        <v>107</v>
      </c>
      <c r="E50" s="77"/>
      <c r="F50" s="71" t="s">
        <v>108</v>
      </c>
      <c r="G50" s="2" t="str">
        <f>HYPERLINK(CONCATENATE(TabelleURL!$B$1,"332_ADIF/332AD02.pdf"), "332AD02KA")</f>
        <v>332AD02KA</v>
      </c>
      <c r="M50" s="5" t="str">
        <f>HYPERLINK(CONCATENATE(TabelleURL!$B$1,"345_Signalbox/3450252.pdf"), "3450252")</f>
        <v>3450252</v>
      </c>
      <c r="T50" s="63"/>
      <c r="U50" s="5"/>
      <c r="W50" s="5"/>
      <c r="X50" s="17"/>
      <c r="Y50" s="8"/>
      <c r="AC50" s="18"/>
      <c r="AF50" s="8" t="str">
        <f>HYPERLINK(CONCATENATE(TabelleURL!$B$1,"340_Helfer/3404700.pdf"), "B-3404700")</f>
        <v>B-3404700</v>
      </c>
      <c r="AG50" s="2" t="str">
        <f>HYPERLINK(CONCATENATE(TabelleURL!$B$1,"340_Helfer/3404701.pdf"), "3404701")</f>
        <v>3404701</v>
      </c>
      <c r="AH50" s="4" t="str">
        <f>HYPERLINK(CONCATENATE(TabelleURL!$B$1,"346_CAN2com/346300XX_can2com_de.pdf"), "34630001")</f>
        <v>34630001</v>
      </c>
      <c r="AL50" s="3" t="s">
        <v>7</v>
      </c>
      <c r="AU50" s="10"/>
    </row>
    <row r="51" spans="1:47">
      <c r="A51" s="19" t="s">
        <v>33</v>
      </c>
      <c r="B51" s="19" t="s">
        <v>105</v>
      </c>
      <c r="C51" s="19" t="s">
        <v>109</v>
      </c>
      <c r="D51" s="19" t="s">
        <v>73</v>
      </c>
      <c r="E51" s="77"/>
      <c r="F51" s="71"/>
      <c r="G51" s="2" t="str">
        <f>HYPERLINK(CONCATENATE(TabelleURL!$B$1,"332_ADIF/332VW05.pdf"), "332VW05KA")</f>
        <v>332VW05KA</v>
      </c>
      <c r="T51" s="63"/>
      <c r="U51" s="5"/>
      <c r="W51" s="5"/>
      <c r="X51" s="17"/>
      <c r="Y51" s="8"/>
      <c r="AC51" s="18"/>
      <c r="AG51" s="2"/>
      <c r="AU51" s="10"/>
    </row>
    <row r="52" spans="1:47">
      <c r="A52" s="19" t="s">
        <v>33</v>
      </c>
      <c r="B52" s="19" t="s">
        <v>110</v>
      </c>
      <c r="C52" s="19" t="s">
        <v>111</v>
      </c>
      <c r="D52" s="19" t="s">
        <v>112</v>
      </c>
      <c r="E52" s="77"/>
      <c r="F52" s="71"/>
      <c r="G52" s="2" t="str">
        <f>HYPERLINK(CONCATENATE(TabelleURL!$B$1,"332_ADIF/332AD01.pdf"), "332AD01")</f>
        <v>332AD01</v>
      </c>
      <c r="I52" s="2" t="str">
        <f>HYPERLINK(CONCATENATE(TabelleURL!$B$1,"342_ADIF/342AD01zi.pdf"), "342AD01/ZI")</f>
        <v>342AD01/ZI</v>
      </c>
      <c r="T52" s="63"/>
      <c r="U52" s="5"/>
      <c r="W52" s="5"/>
      <c r="X52" s="17"/>
      <c r="Y52" s="8"/>
      <c r="AC52" s="18"/>
      <c r="AP52" s="2" t="str">
        <f>HYPERLINK(CONCATENATE(TabelleURL!$B$1,"367/3674700.pdf"), "3674700")</f>
        <v>3674700</v>
      </c>
      <c r="AU52" s="10"/>
    </row>
    <row r="53" spans="1:47">
      <c r="A53" s="19" t="s">
        <v>33</v>
      </c>
      <c r="B53" s="19" t="s">
        <v>110</v>
      </c>
      <c r="C53" s="19" t="s">
        <v>113</v>
      </c>
      <c r="D53" s="19" t="s">
        <v>114</v>
      </c>
      <c r="E53" s="77" t="s">
        <v>56</v>
      </c>
      <c r="F53" s="71"/>
      <c r="G53" s="2" t="str">
        <f>HYPERLINK(CONCATENATE(TabelleURL!$B$1,"332_ADIF/332AD01.pdf"), "332AD01")</f>
        <v>332AD01</v>
      </c>
      <c r="I53" s="2" t="str">
        <f>HYPERLINK(CONCATENATE(TabelleURL!$B$1,"342_ADIF/342AD01zi.pdf"), "342AD01/ZI")</f>
        <v>342AD01/ZI</v>
      </c>
      <c r="M53" s="5" t="str">
        <f>HYPERLINK(CONCATENATE(TabelleURL!$B$1,"345_Signalbox/3450258.pdf"), "3450258")</f>
        <v>3450258</v>
      </c>
      <c r="N53" s="5" t="str">
        <f>HYPERLINK(CONCATENATE(TabelleURL!$B$1,"345_Signalbox/3450258-H.pdf"), "3450258-H")</f>
        <v>3450258-H</v>
      </c>
      <c r="P53" s="5" t="str">
        <f>HYPERLINK(CONCATENATE(TabelleURL!$B$1,"345_Signalbox/3450258-W.pdf"), "3450258-W")</f>
        <v>3450258-W</v>
      </c>
      <c r="R53" s="66" t="s">
        <v>11</v>
      </c>
      <c r="S53" s="67" t="str">
        <f>HYPERLINK(CONCATENATE(TabelleURL!$B$1,"344_URI2/3444703.pdf"), "B-3444703")</f>
        <v>B-3444703</v>
      </c>
      <c r="T53" s="63">
        <v>3470005</v>
      </c>
      <c r="U53" s="5" t="s">
        <v>40</v>
      </c>
      <c r="V53" s="4" t="s">
        <v>41</v>
      </c>
      <c r="W53" s="5"/>
      <c r="X53" s="17"/>
      <c r="Y53" s="8"/>
      <c r="Z53" s="2" t="s">
        <v>58</v>
      </c>
      <c r="AC53" s="18"/>
      <c r="AF53" s="8" t="str">
        <f>HYPERLINK(CONCATENATE(TabelleURL!$B$1,"340_Helfer/3404700.pdf"), "B-3404700")</f>
        <v>B-3404700</v>
      </c>
      <c r="AG53" s="2" t="str">
        <f>HYPERLINK(CONCATENATE(TabelleURL!$B$1,"340_Helfer/3404701.pdf"), "3404701")</f>
        <v>3404701</v>
      </c>
      <c r="AL53" s="3" t="s">
        <v>7</v>
      </c>
      <c r="AP53" s="2" t="str">
        <f>HYPERLINK(CONCATENATE(TabelleURL!$B$1,"367/3674700.pdf"), "3674700")</f>
        <v>3674700</v>
      </c>
      <c r="AU53" s="10"/>
    </row>
    <row r="54" spans="1:47">
      <c r="A54" s="19" t="s">
        <v>33</v>
      </c>
      <c r="B54" s="19" t="s">
        <v>110</v>
      </c>
      <c r="C54" s="19" t="s">
        <v>113</v>
      </c>
      <c r="D54" s="19" t="s">
        <v>114</v>
      </c>
      <c r="E54" s="77" t="s">
        <v>49</v>
      </c>
      <c r="F54" s="71"/>
      <c r="G54" s="2" t="str">
        <f>HYPERLINK(CONCATENATE(TabelleURL!$B$1,"332_ADIF/332AD01.pdf"), "332AD01")</f>
        <v>332AD01</v>
      </c>
      <c r="I54" s="2" t="str">
        <f>HYPERLINK(CONCATENATE(TabelleURL!$B$1,"342_ADIF/342AD01zi.pdf"), "342AD01/ZI")</f>
        <v>342AD01/ZI</v>
      </c>
      <c r="M54" s="5" t="str">
        <f>HYPERLINK(CONCATENATE(TabelleURL!$B$1,"345_Signalbox/3450258.pdf"), "3450258")</f>
        <v>3450258</v>
      </c>
      <c r="N54" s="5" t="str">
        <f>HYPERLINK(CONCATENATE(TabelleURL!$B$1,"345_Signalbox/3450258-H.pdf"), "3450258-H")</f>
        <v>3450258-H</v>
      </c>
      <c r="P54" s="5" t="str">
        <f>HYPERLINK(CONCATENATE(TabelleURL!$B$1,"345_Signalbox/3450258-W.pdf"), "3450258-W")</f>
        <v>3450258-W</v>
      </c>
      <c r="R54" s="66" t="s">
        <v>11</v>
      </c>
      <c r="S54" s="67" t="str">
        <f>HYPERLINK(CONCATENATE(TabelleURL!$B$1,"344_URI2/3444703_3444751.pdf"), "B-3444751")</f>
        <v>B-3444751</v>
      </c>
      <c r="T54" s="63">
        <v>3470005</v>
      </c>
      <c r="U54" s="5" t="s">
        <v>51</v>
      </c>
      <c r="V54" s="4" t="s">
        <v>52</v>
      </c>
      <c r="W54" s="5"/>
      <c r="X54" s="17"/>
      <c r="Y54" s="8"/>
      <c r="Z54" s="2" t="s">
        <v>65</v>
      </c>
      <c r="AC54" s="18"/>
      <c r="AF54" s="8" t="str">
        <f>HYPERLINK(CONCATENATE(TabelleURL!$B$1,"340_Helfer/3404700.pdf"), "B-3404700")</f>
        <v>B-3404700</v>
      </c>
      <c r="AG54" s="2" t="str">
        <f>HYPERLINK(CONCATENATE(TabelleURL!$B$1,"340_Helfer/3404701.pdf"), "3404701")</f>
        <v>3404701</v>
      </c>
      <c r="AL54" s="3" t="s">
        <v>7</v>
      </c>
      <c r="AP54" s="2" t="str">
        <f>HYPERLINK(CONCATENATE(TabelleURL!$B$1,"367/3674700.pdf"), "3674700")</f>
        <v>3674700</v>
      </c>
      <c r="AU54" s="10"/>
    </row>
    <row r="55" spans="1:47">
      <c r="A55" s="19" t="s">
        <v>33</v>
      </c>
      <c r="B55" s="19" t="s">
        <v>110</v>
      </c>
      <c r="C55" s="19" t="s">
        <v>115</v>
      </c>
      <c r="D55" s="19" t="s">
        <v>116</v>
      </c>
      <c r="E55" s="77"/>
      <c r="F55" s="71"/>
      <c r="G55" s="2" t="str">
        <f>HYPERLINK(CONCATENATE(TabelleURL!$B$1,"332_ADIF/332VW05.pdf"), "332VW05KA")</f>
        <v>332VW05KA</v>
      </c>
      <c r="H55" s="2" t="s">
        <v>50</v>
      </c>
      <c r="I55" s="2" t="str">
        <f>HYPERLINK(CONCATENATE(TabelleURL!$B$1,"342_ADIF/342VW05ZI.pdf"), "342VW05/0/ZI")</f>
        <v>342VW05/0/ZI</v>
      </c>
      <c r="M55" s="5" t="str">
        <f>HYPERLINK(CONCATENATE(TabelleURL!$B$1,"345_Signalbox/3450276.pdf"), "3450276")</f>
        <v>3450276</v>
      </c>
      <c r="P55" s="5" t="str">
        <f>HYPERLINK(CONCATENATE(TabelleURL!$B$1,"345_Signalbox/3450276-W.pdf"), "3450276-W")</f>
        <v>3450276-W</v>
      </c>
      <c r="T55" s="63"/>
      <c r="U55" s="5"/>
      <c r="W55" s="5"/>
      <c r="X55" s="17"/>
      <c r="Y55" s="8"/>
      <c r="AC55" s="18"/>
      <c r="AF55" s="8" t="str">
        <f>HYPERLINK(CONCATENATE(TabelleURL!$B$1,"340_Helfer/3404700.pdf"), "B-3404700")</f>
        <v>B-3404700</v>
      </c>
      <c r="AG55" s="2" t="str">
        <f>HYPERLINK(CONCATENATE(TabelleURL!$B$1,"340_Helfer/3404701.pdf"), "3404701")</f>
        <v>3404701</v>
      </c>
      <c r="AP55" s="2" t="str">
        <f>HYPERLINK(CONCATENATE(TabelleURL!$B$1,"367/3674700.pdf"), "3674700")</f>
        <v>3674700</v>
      </c>
      <c r="AU55" s="10"/>
    </row>
    <row r="56" spans="1:47">
      <c r="A56" s="19" t="s">
        <v>117</v>
      </c>
      <c r="B56" s="19" t="s">
        <v>118</v>
      </c>
      <c r="C56" s="19"/>
      <c r="D56" s="19" t="s">
        <v>119</v>
      </c>
      <c r="E56" s="77"/>
      <c r="F56" s="71"/>
      <c r="G56" s="2" t="str">
        <f>HYPERLINK(CONCATENATE(TabelleURL!$B$1,"342_ADIF/342VW04.pdf"), "342VW04/0")</f>
        <v>342VW04/0</v>
      </c>
      <c r="T56" s="63"/>
      <c r="U56" s="5"/>
      <c r="W56" s="5"/>
      <c r="X56" s="17"/>
      <c r="Y56" s="8"/>
      <c r="AC56" s="18"/>
      <c r="AF56" s="8" t="str">
        <f>HYPERLINK(CONCATENATE(TabelleURL!$B$1,"340_Helfer/3404700.pdf"), "B-3404700")</f>
        <v>B-3404700</v>
      </c>
      <c r="AL56" s="3" t="s">
        <v>7</v>
      </c>
      <c r="AU56" s="10"/>
    </row>
    <row r="57" spans="1:47">
      <c r="A57" s="19" t="s">
        <v>120</v>
      </c>
      <c r="B57" s="19" t="s">
        <v>121</v>
      </c>
      <c r="C57" s="19" t="s">
        <v>122</v>
      </c>
      <c r="D57" s="19" t="s">
        <v>82</v>
      </c>
      <c r="E57" s="77"/>
      <c r="F57" s="71"/>
      <c r="G57" s="2" t="str">
        <f>HYPERLINK(CONCATENATE(TabelleURL!$B$1,"342_ADIF/342BM01.pdf"), "342BM01/0/KA")</f>
        <v>342BM01/0/KA</v>
      </c>
      <c r="H57" s="2" t="s">
        <v>123</v>
      </c>
      <c r="M57" s="5" t="str">
        <f>HYPERLINK(CONCATENATE(TabelleURL!$B$1,"345_Signalbox/3450259.pdf"), "3450259")</f>
        <v>3450259</v>
      </c>
      <c r="O57" s="5" t="str">
        <f>HYPERLINK(CONCATENATE(TabelleURL!$B$1,"345_Signalbox/3450259-V.pdf"), "3450259-V")</f>
        <v>3450259-V</v>
      </c>
      <c r="P57" s="5" t="str">
        <f>HYPERLINK(CONCATENATE(TabelleURL!$B$1,"345_Signalbox/3450259-W.pdf"), "3450259-W")</f>
        <v>3450259-W</v>
      </c>
      <c r="R57" s="66" t="s">
        <v>11</v>
      </c>
      <c r="S57" s="67" t="s">
        <v>124</v>
      </c>
      <c r="T57" s="63">
        <v>3470005</v>
      </c>
      <c r="U57" s="5" t="s">
        <v>125</v>
      </c>
      <c r="V57" s="4" t="s">
        <v>124</v>
      </c>
      <c r="W57" s="5"/>
      <c r="X57" s="17" t="s">
        <v>11</v>
      </c>
      <c r="Y57" s="8" t="s">
        <v>126</v>
      </c>
      <c r="AB57" s="2" t="s">
        <v>127</v>
      </c>
      <c r="AC57" s="18" t="s">
        <v>11</v>
      </c>
      <c r="AD57" s="4" t="str">
        <f>HYPERLINK(CONCATENATE(TabelleURL!$B$1,"367/3674212-PDC.pdf"), "3674212-PDC")</f>
        <v>3674212-PDC</v>
      </c>
      <c r="AF57" s="8" t="str">
        <f>HYPERLINK(CONCATENATE(TabelleURL!$B$1,"340_Helfer/3404700.pdf"), "B-3404700")</f>
        <v>B-3404700</v>
      </c>
      <c r="AG57" s="2" t="str">
        <f>HYPERLINK(CONCATENATE(TabelleURL!$B$1,"340_Helfer/3404701.pdf"), "3404701")</f>
        <v>3404701</v>
      </c>
      <c r="AH57" s="4" t="str">
        <f>HYPERLINK(CONCATENATE(TabelleURL!$B$1,"346_CAN2com/3475812.pdf"), "3475812")</f>
        <v>3475812</v>
      </c>
      <c r="AL57" s="3" t="s">
        <v>7</v>
      </c>
      <c r="AN57" s="2" t="str">
        <f>HYPERLINK(CONCATENATE(TabelleURL!$B$1,"350_RICI_PDC_OBI/3500031 OBI Alfa BMW Fiat Merc Opel VW D_E.pdf"), "3500031")</f>
        <v>3500031</v>
      </c>
      <c r="AO57" s="7">
        <v>3530002</v>
      </c>
      <c r="AP57" s="2" t="str">
        <f>HYPERLINK(CONCATENATE(TabelleURL!$B$1,"367/3674700.pdf"), "3674700")</f>
        <v>3674700</v>
      </c>
      <c r="AT57" s="2"/>
      <c r="AU57" s="10"/>
    </row>
    <row r="58" spans="1:47">
      <c r="A58" s="19" t="s">
        <v>120</v>
      </c>
      <c r="B58" s="19" t="s">
        <v>121</v>
      </c>
      <c r="C58" s="19" t="s">
        <v>128</v>
      </c>
      <c r="D58" s="19" t="s">
        <v>1408</v>
      </c>
      <c r="E58" s="77"/>
      <c r="F58" s="71"/>
      <c r="G58" s="2" t="str">
        <f>HYPERLINK(CONCATENATE(TabelleURL!$B$1,"342_ADIF/342BM01.pdf"), "342BM01/0/KA")</f>
        <v>342BM01/0/KA</v>
      </c>
      <c r="M58" s="5" t="str">
        <f>HYPERLINK(CONCATENATE(TabelleURL!$B$1,"345_Signalbox/3450259.pdf"), "3450259")</f>
        <v>3450259</v>
      </c>
      <c r="O58" s="5" t="str">
        <f>HYPERLINK(CONCATENATE(TabelleURL!$B$1,"345_Signalbox/3450259-V.pdf"), "3450259-V")</f>
        <v>3450259-V</v>
      </c>
      <c r="P58" s="5" t="str">
        <f>HYPERLINK(CONCATENATE(TabelleURL!$B$1,"345_Signalbox/3450259-W.pdf"), "3450259-W")</f>
        <v>3450259-W</v>
      </c>
      <c r="T58" s="63"/>
      <c r="U58" s="5"/>
      <c r="W58" s="5"/>
      <c r="X58" s="17"/>
      <c r="Y58" s="8"/>
      <c r="AC58" s="18"/>
      <c r="AF58" s="8" t="str">
        <f>HYPERLINK(CONCATENATE(TabelleURL!$B$1,"340_Helfer/3404700.pdf"), "B-3404700")</f>
        <v>B-3404700</v>
      </c>
      <c r="AG58" s="2" t="str">
        <f>HYPERLINK(CONCATENATE(TabelleURL!$B$1,"340_Helfer/3404701.pdf"), "3404701")</f>
        <v>3404701</v>
      </c>
      <c r="AH58" s="4" t="str">
        <f>HYPERLINK(CONCATENATE(TabelleURL!$B$1,"346_CAN2com/3475812.pdf"), "3475812")</f>
        <v>3475812</v>
      </c>
      <c r="AI58" s="5" t="str">
        <f>HYPERLINK(CONCATENATE(TabelleURL!$B$1,"3499_Taxi/34990031.pdf"), "34990031")</f>
        <v>34990031</v>
      </c>
      <c r="AO58" s="7">
        <v>3530006</v>
      </c>
      <c r="AP58" s="2" t="str">
        <f>HYPERLINK(CONCATENATE(TabelleURL!$B$1,"367/3674700.pdf"), "3674700")</f>
        <v>3674700</v>
      </c>
      <c r="AT58" s="2" t="str">
        <f>HYPERLINK(CONCATENATE(TabelleURL!$B$1,"340_Helfer/3406812.pdf"), "B-3406812")</f>
        <v>B-3406812</v>
      </c>
      <c r="AU58" s="10"/>
    </row>
    <row r="59" spans="1:47">
      <c r="A59" s="19" t="s">
        <v>120</v>
      </c>
      <c r="B59" s="19" t="s">
        <v>121</v>
      </c>
      <c r="C59" s="19" t="s">
        <v>1407</v>
      </c>
      <c r="D59" s="81" t="s">
        <v>104</v>
      </c>
      <c r="E59" s="77"/>
      <c r="F59" s="71"/>
      <c r="G59" s="2" t="str">
        <f>HYPERLINK(CONCATENATE(TabelleURL!$B$1,"342_ADIF/342BM01.pdf"), "342BM01/0/KA")</f>
        <v>342BM01/0/KA</v>
      </c>
      <c r="M59" s="5" t="str">
        <f>HYPERLINK(CONCATENATE(TabelleURL!$B$1,"345_Signalbox/3450259.pdf"), "3450259")</f>
        <v>3450259</v>
      </c>
      <c r="P59" s="5" t="str">
        <f>HYPERLINK(CONCATENATE(TabelleURL!$B$1,"345_Signalbox/3450259-W.pdf"), "3450259-W")</f>
        <v>3450259-W</v>
      </c>
      <c r="T59" s="63"/>
      <c r="U59" s="5"/>
      <c r="W59" s="5"/>
      <c r="X59" s="17"/>
      <c r="Y59" s="8"/>
      <c r="AC59" s="18"/>
      <c r="AF59" s="8" t="str">
        <f>HYPERLINK(CONCATENATE(TabelleURL!$B$1,"340_Helfer/3404700.pdf"), "B-3404700")</f>
        <v>B-3404700</v>
      </c>
      <c r="AG59" s="2" t="str">
        <f>HYPERLINK(CONCATENATE(TabelleURL!$B$1,"340_Helfer/3404701.pdf"), "3404701")</f>
        <v>3404701</v>
      </c>
      <c r="AH59" s="4" t="str">
        <f>HYPERLINK(CONCATENATE(TabelleURL!$B$1,"346_CAN2com/3475812.pdf"), "3475812")</f>
        <v>3475812</v>
      </c>
      <c r="AI59" s="5" t="str">
        <f>HYPERLINK(CONCATENATE(TabelleURL!$B$1,"3499_Taxi/34990031.pdf"), "34990031")</f>
        <v>34990031</v>
      </c>
      <c r="AO59" s="7" t="s">
        <v>131</v>
      </c>
      <c r="AP59" s="2" t="str">
        <f>HYPERLINK(CONCATENATE(TabelleURL!$B$1,"367/3674700.pdf"), "3674700")</f>
        <v>3674700</v>
      </c>
      <c r="AT59" s="2" t="str">
        <f>HYPERLINK(CONCATENATE(TabelleURL!$B$1,"340_Helfer/3406812.pdf"), "B-3406812")</f>
        <v>B-3406812</v>
      </c>
      <c r="AU59" s="10"/>
    </row>
    <row r="60" spans="1:47">
      <c r="A60" s="19" t="s">
        <v>120</v>
      </c>
      <c r="B60" s="19" t="s">
        <v>129</v>
      </c>
      <c r="C60" s="19" t="s">
        <v>130</v>
      </c>
      <c r="D60" s="19" t="s">
        <v>116</v>
      </c>
      <c r="E60" s="77"/>
      <c r="F60" s="71"/>
      <c r="G60" s="2" t="str">
        <f>HYPERLINK(CONCATENATE(TabelleURL!$B$1,"342_ADIF/342BM01.pdf"), "342BM01/0/KA")</f>
        <v>342BM01/0/KA</v>
      </c>
      <c r="M60" s="5" t="str">
        <f>HYPERLINK(CONCATENATE(TabelleURL!$B$1,"345_Signalbox/3450259.pdf"), "3450259")</f>
        <v>3450259</v>
      </c>
      <c r="O60" s="5" t="str">
        <f>HYPERLINK(CONCATENATE(TabelleURL!$B$1,"345_Signalbox/3450259-V.pdf"), "3450259-V")</f>
        <v>3450259-V</v>
      </c>
      <c r="P60" s="5" t="str">
        <f>HYPERLINK(CONCATENATE(TabelleURL!$B$1,"345_Signalbox/3450259-W.pdf"), "3450259-W")</f>
        <v>3450259-W</v>
      </c>
      <c r="T60" s="63"/>
      <c r="U60" s="5"/>
      <c r="W60" s="5"/>
      <c r="X60" s="17"/>
      <c r="Y60" s="8"/>
      <c r="AC60" s="18"/>
      <c r="AF60" s="8" t="str">
        <f>HYPERLINK(CONCATENATE(TabelleURL!$B$1,"340_Helfer/3404700.pdf"), "B-3404700")</f>
        <v>B-3404700</v>
      </c>
      <c r="AG60" s="2" t="str">
        <f>HYPERLINK(CONCATENATE(TabelleURL!$B$1,"340_Helfer/3404701.pdf"), "3404701")</f>
        <v>3404701</v>
      </c>
      <c r="AH60" s="4" t="str">
        <f>HYPERLINK(CONCATENATE(TabelleURL!$B$1,"346_CAN2com/3475812.pdf"), "3475812")</f>
        <v>3475812</v>
      </c>
      <c r="AI60" s="5" t="str">
        <f>HYPERLINK(CONCATENATE(TabelleURL!$B$1,"3499_Taxi/34990031.pdf"), "34990031")</f>
        <v>34990031</v>
      </c>
      <c r="AO60" s="7" t="s">
        <v>131</v>
      </c>
      <c r="AP60" s="2" t="str">
        <f>HYPERLINK(CONCATENATE(TabelleURL!$B$1,"367/3674700.pdf"), "3674700")</f>
        <v>3674700</v>
      </c>
      <c r="AT60" s="2" t="str">
        <f>HYPERLINK(CONCATENATE(TabelleURL!$B$1,"340_Helfer/3406812.pdf"), "B-3406812")</f>
        <v>B-3406812</v>
      </c>
      <c r="AU60" s="10"/>
    </row>
    <row r="61" spans="1:47">
      <c r="A61" s="19" t="s">
        <v>120</v>
      </c>
      <c r="B61" s="19" t="s">
        <v>132</v>
      </c>
      <c r="C61" s="19" t="s">
        <v>133</v>
      </c>
      <c r="D61" s="19" t="s">
        <v>116</v>
      </c>
      <c r="E61" s="77"/>
      <c r="F61" s="71"/>
      <c r="G61" s="2" t="str">
        <f>HYPERLINK(CONCATENATE(TabelleURL!$B$1,"342_ADIF/342BM01.pdf"), "342BM01/0/KA")</f>
        <v>342BM01/0/KA</v>
      </c>
      <c r="M61" s="5" t="str">
        <f>HYPERLINK(CONCATENATE(TabelleURL!$B$1,"345_Signalbox/3450259.pdf"), "3450259")</f>
        <v>3450259</v>
      </c>
      <c r="O61" s="5" t="str">
        <f>HYPERLINK(CONCATENATE(TabelleURL!$B$1,"345_Signalbox/3450259-V.pdf"), "3450259-V")</f>
        <v>3450259-V</v>
      </c>
      <c r="P61" s="5" t="str">
        <f>HYPERLINK(CONCATENATE(TabelleURL!$B$1,"345_Signalbox/3450259-W.pdf"), "3450259-W")</f>
        <v>3450259-W</v>
      </c>
      <c r="T61" s="63"/>
      <c r="U61" s="5"/>
      <c r="W61" s="5"/>
      <c r="X61" s="17"/>
      <c r="Y61" s="8"/>
      <c r="AC61" s="18"/>
      <c r="AF61" s="8" t="str">
        <f>HYPERLINK(CONCATENATE(TabelleURL!$B$1,"340_Helfer/3404700.pdf"), "B-3404700")</f>
        <v>B-3404700</v>
      </c>
      <c r="AG61" s="2" t="str">
        <f>HYPERLINK(CONCATENATE(TabelleURL!$B$1,"340_Helfer/3404701.pdf"), "3404701")</f>
        <v>3404701</v>
      </c>
      <c r="AH61" s="4" t="str">
        <f>HYPERLINK(CONCATENATE(TabelleURL!$B$1,"346_CAN2com/3475812.pdf"), "3475812")</f>
        <v>3475812</v>
      </c>
      <c r="AI61" s="5" t="str">
        <f>HYPERLINK(CONCATENATE(TabelleURL!$B$1,"3499_Taxi/34990031.pdf"), "34990031")</f>
        <v>34990031</v>
      </c>
      <c r="AO61" s="7" t="s">
        <v>131</v>
      </c>
      <c r="AP61" s="2" t="str">
        <f>HYPERLINK(CONCATENATE(TabelleURL!$B$1,"367/3674700.pdf"), "3674700")</f>
        <v>3674700</v>
      </c>
      <c r="AT61" s="2" t="str">
        <f>HYPERLINK(CONCATENATE(TabelleURL!$B$1,"340_Helfer/3406812.pdf"), "B-3406812")</f>
        <v>B-3406812</v>
      </c>
      <c r="AU61" s="10"/>
    </row>
    <row r="62" spans="1:47">
      <c r="A62" s="19" t="s">
        <v>120</v>
      </c>
      <c r="B62" s="19" t="s">
        <v>134</v>
      </c>
      <c r="C62" s="19" t="s">
        <v>135</v>
      </c>
      <c r="D62" s="19" t="s">
        <v>73</v>
      </c>
      <c r="E62" s="77"/>
      <c r="F62" s="71"/>
      <c r="G62" s="2" t="str">
        <f>HYPERLINK(CONCATENATE(TabelleURL!$B$1,"342_ADIF/342BM01.pdf"), "342BM01/0/KA")</f>
        <v>342BM01/0/KA</v>
      </c>
      <c r="M62" s="5" t="str">
        <f>HYPERLINK(CONCATENATE(TabelleURL!$B$1,"345_Signalbox/3450259.pdf"), "3450259")</f>
        <v>3450259</v>
      </c>
      <c r="O62" s="5" t="str">
        <f>HYPERLINK(CONCATENATE(TabelleURL!$B$1,"345_Signalbox/3450259-V.pdf"), "3450259-V")</f>
        <v>3450259-V</v>
      </c>
      <c r="P62" s="5" t="str">
        <f>HYPERLINK(CONCATENATE(TabelleURL!$B$1,"345_Signalbox/3450259-W.pdf"), "3450259-W")</f>
        <v>3450259-W</v>
      </c>
      <c r="T62" s="63"/>
      <c r="U62" s="5"/>
      <c r="W62" s="5"/>
      <c r="X62" s="17"/>
      <c r="Y62" s="8"/>
      <c r="AC62" s="18"/>
      <c r="AF62" s="8" t="str">
        <f>HYPERLINK(CONCATENATE(TabelleURL!$B$1,"340_Helfer/3404700.pdf"), "B-3404700")</f>
        <v>B-3404700</v>
      </c>
      <c r="AG62" s="2" t="str">
        <f>HYPERLINK(CONCATENATE(TabelleURL!$B$1,"340_Helfer/3404701.pdf"), "3404701")</f>
        <v>3404701</v>
      </c>
      <c r="AH62" s="4" t="str">
        <f>HYPERLINK(CONCATENATE(TabelleURL!$B$1,"346_CAN2com/3475812.pdf"), "3475812")</f>
        <v>3475812</v>
      </c>
      <c r="AI62" s="5" t="str">
        <f>HYPERLINK(CONCATENATE(TabelleURL!$B$1,"3499_Taxi/34990031.pdf"), "34990031")</f>
        <v>34990031</v>
      </c>
      <c r="AO62" s="7" t="s">
        <v>131</v>
      </c>
      <c r="AP62" s="2" t="str">
        <f>HYPERLINK(CONCATENATE(TabelleURL!$B$1,"367/3674700.pdf"), "3674700")</f>
        <v>3674700</v>
      </c>
      <c r="AT62" s="2" t="str">
        <f>HYPERLINK(CONCATENATE(TabelleURL!$B$1,"340_Helfer/3406812.pdf"), "B-3406812")</f>
        <v>B-3406812</v>
      </c>
      <c r="AU62" s="10"/>
    </row>
    <row r="63" spans="1:47">
      <c r="A63" s="19" t="s">
        <v>120</v>
      </c>
      <c r="B63" s="19" t="s">
        <v>136</v>
      </c>
      <c r="C63" s="19" t="s">
        <v>137</v>
      </c>
      <c r="D63" s="19" t="s">
        <v>138</v>
      </c>
      <c r="E63" s="77" t="s">
        <v>139</v>
      </c>
      <c r="F63" s="71"/>
      <c r="R63" s="66" t="s">
        <v>11</v>
      </c>
      <c r="S63" s="67" t="s">
        <v>140</v>
      </c>
      <c r="T63" s="63"/>
      <c r="U63" s="5"/>
      <c r="W63" s="5" t="s">
        <v>140</v>
      </c>
      <c r="X63" s="17"/>
      <c r="Y63" s="8"/>
      <c r="AC63" s="18"/>
      <c r="AU63" s="10"/>
    </row>
    <row r="64" spans="1:47">
      <c r="A64" s="19" t="s">
        <v>120</v>
      </c>
      <c r="B64" s="19" t="s">
        <v>136</v>
      </c>
      <c r="C64" s="19" t="s">
        <v>141</v>
      </c>
      <c r="D64" s="19" t="s">
        <v>142</v>
      </c>
      <c r="E64" s="77" t="s">
        <v>143</v>
      </c>
      <c r="F64" s="71"/>
      <c r="R64" s="66" t="s">
        <v>11</v>
      </c>
      <c r="S64" s="67" t="s">
        <v>140</v>
      </c>
      <c r="T64" s="63"/>
      <c r="U64" s="5"/>
      <c r="W64" s="5" t="s">
        <v>140</v>
      </c>
      <c r="X64" s="17"/>
      <c r="Y64" s="8"/>
      <c r="AC64" s="18"/>
      <c r="AU64" s="10"/>
    </row>
    <row r="65" spans="1:47">
      <c r="A65" s="19" t="s">
        <v>120</v>
      </c>
      <c r="B65" s="19" t="s">
        <v>136</v>
      </c>
      <c r="C65" s="19" t="s">
        <v>141</v>
      </c>
      <c r="D65" s="19" t="s">
        <v>142</v>
      </c>
      <c r="E65" s="77" t="s">
        <v>144</v>
      </c>
      <c r="F65" s="71"/>
      <c r="R65" s="66" t="s">
        <v>11</v>
      </c>
      <c r="S65" s="67" t="s">
        <v>145</v>
      </c>
      <c r="T65" s="63"/>
      <c r="U65" s="5"/>
      <c r="W65" s="5" t="s">
        <v>145</v>
      </c>
      <c r="X65" s="17"/>
      <c r="Y65" s="8"/>
      <c r="AB65" s="2" t="s">
        <v>127</v>
      </c>
      <c r="AC65" s="18"/>
      <c r="AU65" s="10"/>
    </row>
    <row r="66" spans="1:47">
      <c r="A66" s="19" t="s">
        <v>120</v>
      </c>
      <c r="B66" s="19" t="s">
        <v>136</v>
      </c>
      <c r="C66" s="19" t="s">
        <v>146</v>
      </c>
      <c r="D66" s="19" t="s">
        <v>147</v>
      </c>
      <c r="E66" s="77"/>
      <c r="F66" s="71" t="s">
        <v>148</v>
      </c>
      <c r="G66" s="2" t="str">
        <f>HYPERLINK(CONCATENATE(TabelleURL!$B$1,"342_ADIF/342BM01.pdf"), "342BM01/0/KA")</f>
        <v>342BM01/0/KA</v>
      </c>
      <c r="H66" s="2" t="s">
        <v>123</v>
      </c>
      <c r="M66" s="5" t="str">
        <f>HYPERLINK(CONCATENATE(TabelleURL!$B$1,"345_Signalbox/3450259.pdf"), "3450259")</f>
        <v>3450259</v>
      </c>
      <c r="O66" s="5" t="str">
        <f>HYPERLINK(CONCATENATE(TabelleURL!$B$1,"345_Signalbox/3450259-V.pdf"), "3450259-V")</f>
        <v>3450259-V</v>
      </c>
      <c r="P66" s="5" t="str">
        <f>HYPERLINK(CONCATENATE(TabelleURL!$B$1,"345_Signalbox/3450259-W.pdf"), "3450259-W")</f>
        <v>3450259-W</v>
      </c>
      <c r="R66" s="66" t="s">
        <v>11</v>
      </c>
      <c r="S66" s="67" t="s">
        <v>124</v>
      </c>
      <c r="T66" s="63">
        <v>3470005</v>
      </c>
      <c r="U66" s="5" t="s">
        <v>125</v>
      </c>
      <c r="W66" s="5"/>
      <c r="X66" s="17" t="s">
        <v>11</v>
      </c>
      <c r="Y66" s="8" t="s">
        <v>126</v>
      </c>
      <c r="AB66" s="2" t="s">
        <v>127</v>
      </c>
      <c r="AC66" s="18" t="s">
        <v>11</v>
      </c>
      <c r="AD66" s="4" t="str">
        <f>HYPERLINK(CONCATENATE(TabelleURL!$B$1,"367/3674212-PDC.pdf"), "3674212-PDC")</f>
        <v>3674212-PDC</v>
      </c>
      <c r="AF66" s="8" t="str">
        <f>HYPERLINK(CONCATENATE(TabelleURL!$B$1,"340_Helfer/3404700.pdf"), "B-3404700")</f>
        <v>B-3404700</v>
      </c>
      <c r="AG66" s="2" t="str">
        <f>HYPERLINK(CONCATENATE(TabelleURL!$B$1,"340_Helfer/3404701.pdf"), "3404701")</f>
        <v>3404701</v>
      </c>
      <c r="AH66" s="4" t="str">
        <f>HYPERLINK(CONCATENATE(TabelleURL!$B$1,"346_CAN2com/3475812.pdf"), "3475812")</f>
        <v>3475812</v>
      </c>
      <c r="AL66" s="3" t="s">
        <v>7</v>
      </c>
      <c r="AN66" s="2" t="str">
        <f>HYPERLINK(CONCATENATE(TabelleURL!$B$1,"350_RICI_PDC_OBI/3500031 OBI Alfa BMW Fiat Merc Opel VW D_E.pdf"), "3500031")</f>
        <v>3500031</v>
      </c>
      <c r="AO66" s="7">
        <v>3530002</v>
      </c>
      <c r="AP66" s="2" t="str">
        <f>HYPERLINK(CONCATENATE(TabelleURL!$B$1,"367/3674700.pdf"), "3674700")</f>
        <v>3674700</v>
      </c>
      <c r="AQ66" s="7" t="s">
        <v>149</v>
      </c>
      <c r="AT66" s="2"/>
      <c r="AU66" s="10"/>
    </row>
    <row r="67" spans="1:47">
      <c r="A67" s="19" t="s">
        <v>120</v>
      </c>
      <c r="B67" s="19" t="s">
        <v>136</v>
      </c>
      <c r="C67" s="19" t="s">
        <v>150</v>
      </c>
      <c r="D67" s="19" t="s">
        <v>86</v>
      </c>
      <c r="E67" s="77"/>
      <c r="F67" s="71"/>
      <c r="G67" s="2" t="str">
        <f>HYPERLINK(CONCATENATE(TabelleURL!$B$1,"342_ADIF/342BM01.pdf"), "342BM01/0/KA")</f>
        <v>342BM01/0/KA</v>
      </c>
      <c r="H67" s="2" t="s">
        <v>123</v>
      </c>
      <c r="M67" s="5" t="str">
        <f>HYPERLINK(CONCATENATE(TabelleURL!$B$1,"345_Signalbox/3450259.pdf"), "3450259")</f>
        <v>3450259</v>
      </c>
      <c r="O67" s="5" t="str">
        <f>HYPERLINK(CONCATENATE(TabelleURL!$B$1,"345_Signalbox/3450259-V.pdf"), "3450259-V")</f>
        <v>3450259-V</v>
      </c>
      <c r="P67" s="5" t="str">
        <f>HYPERLINK(CONCATENATE(TabelleURL!$B$1,"345_Signalbox/3450259-W.pdf"), "3450259-W")</f>
        <v>3450259-W</v>
      </c>
      <c r="T67" s="63"/>
      <c r="U67" s="5"/>
      <c r="W67" s="5"/>
      <c r="X67" s="17"/>
      <c r="Y67" s="8"/>
      <c r="AC67" s="18"/>
      <c r="AD67" s="7" t="s">
        <v>6</v>
      </c>
      <c r="AF67" s="8" t="str">
        <f>HYPERLINK(CONCATENATE(TabelleURL!$B$1,"340_Helfer/3404700.pdf"), "B-3404700")</f>
        <v>B-3404700</v>
      </c>
      <c r="AG67" s="2" t="str">
        <f>HYPERLINK(CONCATENATE(TabelleURL!$B$1,"340_Helfer/3404701.pdf"), "3404701")</f>
        <v>3404701</v>
      </c>
      <c r="AH67" s="4" t="str">
        <f>HYPERLINK(CONCATENATE(TabelleURL!$B$1,"346_CAN2com/3475812.pdf"), "3475812")</f>
        <v>3475812</v>
      </c>
      <c r="AI67" s="5" t="str">
        <f>HYPERLINK(CONCATENATE(TabelleURL!$B$1,"3499_Taxi/34990031.pdf"), "34990031")</f>
        <v>34990031</v>
      </c>
      <c r="AO67" s="7" t="s">
        <v>131</v>
      </c>
      <c r="AP67" s="2" t="str">
        <f>HYPERLINK(CONCATENATE(TabelleURL!$B$1,"367/3674700.pdf"), "3674700")</f>
        <v>3674700</v>
      </c>
      <c r="AT67" s="2" t="str">
        <f>HYPERLINK(CONCATENATE(TabelleURL!$B$1,"340_Helfer/3406812.pdf"), "B-3406812")</f>
        <v>B-3406812</v>
      </c>
      <c r="AU67" s="10"/>
    </row>
    <row r="68" spans="1:47">
      <c r="A68" s="19" t="s">
        <v>120</v>
      </c>
      <c r="B68" s="19" t="s">
        <v>151</v>
      </c>
      <c r="C68" s="19" t="s">
        <v>152</v>
      </c>
      <c r="D68" s="19" t="s">
        <v>116</v>
      </c>
      <c r="E68" s="77"/>
      <c r="F68" s="71"/>
      <c r="G68" s="2" t="str">
        <f>HYPERLINK(CONCATENATE(TabelleURL!$B$1,"342_ADIF/342BM01.pdf"), "342BM01/0/KA")</f>
        <v>342BM01/0/KA</v>
      </c>
      <c r="H68" s="2" t="s">
        <v>123</v>
      </c>
      <c r="M68" s="5" t="str">
        <f>HYPERLINK(CONCATENATE(TabelleURL!$B$1,"345_Signalbox/3450259.pdf"), "3450259")</f>
        <v>3450259</v>
      </c>
      <c r="O68" s="5" t="str">
        <f>HYPERLINK(CONCATENATE(TabelleURL!$B$1,"345_Signalbox/3450259-V.pdf"), "3450259-V")</f>
        <v>3450259-V</v>
      </c>
      <c r="P68" s="5" t="str">
        <f>HYPERLINK(CONCATENATE(TabelleURL!$B$1,"345_Signalbox/3450259-W.pdf"), "3450259-W")</f>
        <v>3450259-W</v>
      </c>
      <c r="T68" s="63"/>
      <c r="U68" s="5"/>
      <c r="W68" s="5"/>
      <c r="X68" s="17"/>
      <c r="Y68" s="8"/>
      <c r="AC68" s="18"/>
      <c r="AF68" s="8" t="str">
        <f>HYPERLINK(CONCATENATE(TabelleURL!$B$1,"340_Helfer/3404700.pdf"), "B-3404700")</f>
        <v>B-3404700</v>
      </c>
      <c r="AG68" s="2" t="str">
        <f>HYPERLINK(CONCATENATE(TabelleURL!$B$1,"340_Helfer/3404701.pdf"), "3404701")</f>
        <v>3404701</v>
      </c>
      <c r="AH68" s="4" t="str">
        <f>HYPERLINK(CONCATENATE(TabelleURL!$B$1,"346_CAN2com/3475812.pdf"), "3475812")</f>
        <v>3475812</v>
      </c>
      <c r="AI68" s="5" t="str">
        <f>HYPERLINK(CONCATENATE(TabelleURL!$B$1,"3499_Taxi/34990031.pdf"), "34990031")</f>
        <v>34990031</v>
      </c>
      <c r="AO68" s="7" t="s">
        <v>131</v>
      </c>
      <c r="AP68" s="2" t="str">
        <f>HYPERLINK(CONCATENATE(TabelleURL!$B$1,"367/3674700.pdf"), "3674700")</f>
        <v>3674700</v>
      </c>
      <c r="AT68" s="2" t="str">
        <f>HYPERLINK(CONCATENATE(TabelleURL!$B$1,"340_Helfer/3406812.pdf"), "B-3406812")</f>
        <v>B-3406812</v>
      </c>
      <c r="AU68" s="10"/>
    </row>
    <row r="69" spans="1:47">
      <c r="A69" s="19" t="s">
        <v>153</v>
      </c>
      <c r="B69" s="19" t="s">
        <v>154</v>
      </c>
      <c r="C69" s="19" t="s">
        <v>155</v>
      </c>
      <c r="D69" s="19" t="s">
        <v>156</v>
      </c>
      <c r="E69" s="77" t="s">
        <v>143</v>
      </c>
      <c r="F69" s="71"/>
      <c r="R69" s="66" t="s">
        <v>11</v>
      </c>
      <c r="S69" s="67" t="s">
        <v>140</v>
      </c>
      <c r="T69" s="63"/>
      <c r="U69" s="5"/>
      <c r="W69" s="5" t="s">
        <v>140</v>
      </c>
      <c r="X69" s="17"/>
      <c r="Y69" s="8"/>
      <c r="AC69" s="18"/>
      <c r="AU69" s="10"/>
    </row>
    <row r="70" spans="1:47">
      <c r="A70" s="19" t="s">
        <v>153</v>
      </c>
      <c r="B70" s="19" t="s">
        <v>154</v>
      </c>
      <c r="C70" s="19" t="s">
        <v>155</v>
      </c>
      <c r="D70" s="19" t="s">
        <v>156</v>
      </c>
      <c r="E70" s="77" t="s">
        <v>157</v>
      </c>
      <c r="F70" s="71"/>
      <c r="R70" s="66" t="s">
        <v>11</v>
      </c>
      <c r="S70" s="67" t="s">
        <v>145</v>
      </c>
      <c r="T70" s="63"/>
      <c r="U70" s="5"/>
      <c r="W70" s="5" t="s">
        <v>145</v>
      </c>
      <c r="X70" s="17"/>
      <c r="Y70" s="8"/>
      <c r="AB70" s="2" t="s">
        <v>158</v>
      </c>
      <c r="AC70" s="18"/>
      <c r="AU70" s="10"/>
    </row>
    <row r="71" spans="1:47">
      <c r="A71" s="19" t="s">
        <v>120</v>
      </c>
      <c r="B71" s="19" t="s">
        <v>154</v>
      </c>
      <c r="C71" s="19" t="s">
        <v>159</v>
      </c>
      <c r="D71" s="19" t="s">
        <v>92</v>
      </c>
      <c r="E71" s="77"/>
      <c r="F71" s="71"/>
      <c r="G71" s="2" t="str">
        <f>HYPERLINK(CONCATENATE(TabelleURL!$B$1,"342_ADIF/342BM01.pdf"), "342BM01/0/KA")</f>
        <v>342BM01/0/KA</v>
      </c>
      <c r="H71" s="2" t="s">
        <v>123</v>
      </c>
      <c r="M71" s="5" t="str">
        <f>HYPERLINK(CONCATENATE(TabelleURL!$B$1,"345_Signalbox/3450259.pdf"), "3450259")</f>
        <v>3450259</v>
      </c>
      <c r="O71" s="5" t="str">
        <f>HYPERLINK(CONCATENATE(TabelleURL!$B$1,"345_Signalbox/3450259-V.pdf"), "3450259-V")</f>
        <v>3450259-V</v>
      </c>
      <c r="P71" s="5" t="str">
        <f>HYPERLINK(CONCATENATE(TabelleURL!$B$1,"345_Signalbox/3450259-W.pdf"), "3450259-W")</f>
        <v>3450259-W</v>
      </c>
      <c r="T71" s="63"/>
      <c r="U71" s="5"/>
      <c r="W71" s="5"/>
      <c r="X71" s="17"/>
      <c r="Y71" s="8"/>
      <c r="AC71" s="18"/>
      <c r="AF71" s="8" t="str">
        <f>HYPERLINK(CONCATENATE(TabelleURL!$B$1,"340_Helfer/3404700.pdf"), "B-3404700")</f>
        <v>B-3404700</v>
      </c>
      <c r="AG71" s="2" t="str">
        <f>HYPERLINK(CONCATENATE(TabelleURL!$B$1,"340_Helfer/3404701.pdf"), "3404701")</f>
        <v>3404701</v>
      </c>
      <c r="AH71" s="4" t="str">
        <f>HYPERLINK(CONCATENATE(TabelleURL!$B$1,"346_CAN2com/3475812.pdf"), "3475812")</f>
        <v>3475812</v>
      </c>
      <c r="AI71" s="5" t="str">
        <f>HYPERLINK(CONCATENATE(TabelleURL!$B$1,"3499_Taxi/34990030.pdf"), "34990030")</f>
        <v>34990030</v>
      </c>
      <c r="AL71" s="3" t="s">
        <v>7</v>
      </c>
      <c r="AN71" s="2" t="str">
        <f>HYPERLINK(CONCATENATE(TabelleURL!$B$1,"350_RICI_PDC_OBI/3500031 OBI Alfa BMW Fiat Merc Opel VW D_E.pdf"), "3500031")</f>
        <v>3500031</v>
      </c>
      <c r="AO71" s="7">
        <v>3530001</v>
      </c>
      <c r="AP71" s="2" t="str">
        <f>HYPERLINK(CONCATENATE(TabelleURL!$B$1,"367/3674700.pdf"), "3674700")</f>
        <v>3674700</v>
      </c>
      <c r="AU71" s="10"/>
    </row>
    <row r="72" spans="1:47">
      <c r="A72" s="19" t="s">
        <v>120</v>
      </c>
      <c r="B72" s="19" t="s">
        <v>154</v>
      </c>
      <c r="C72" s="19" t="s">
        <v>159</v>
      </c>
      <c r="D72" s="19" t="s">
        <v>92</v>
      </c>
      <c r="E72" s="77" t="s">
        <v>160</v>
      </c>
      <c r="F72" s="71"/>
      <c r="G72" s="2" t="str">
        <f>HYPERLINK(CONCATENATE(TabelleURL!$B$1,"342_ADIF/342BM01.pdf"), "342BM01/0/KA")</f>
        <v>342BM01/0/KA</v>
      </c>
      <c r="H72" s="2" t="s">
        <v>123</v>
      </c>
      <c r="M72" s="5" t="str">
        <f>HYPERLINK(CONCATENATE(TabelleURL!$B$1,"345_Signalbox/3450259.pdf"), "3450259")</f>
        <v>3450259</v>
      </c>
      <c r="O72" s="5" t="str">
        <f>HYPERLINK(CONCATENATE(TabelleURL!$B$1,"345_Signalbox/3450259-V.pdf"), "3450259-V")</f>
        <v>3450259-V</v>
      </c>
      <c r="P72" s="5" t="str">
        <f>HYPERLINK(CONCATENATE(TabelleURL!$B$1,"345_Signalbox/3450259-W.pdf"), "3450259-W")</f>
        <v>3450259-W</v>
      </c>
      <c r="R72" s="66" t="s">
        <v>11</v>
      </c>
      <c r="S72" s="67" t="s">
        <v>124</v>
      </c>
      <c r="T72" s="63">
        <v>3470005</v>
      </c>
      <c r="U72" s="5" t="s">
        <v>125</v>
      </c>
      <c r="W72" s="5"/>
      <c r="X72" s="17" t="s">
        <v>11</v>
      </c>
      <c r="Y72" s="8" t="s">
        <v>126</v>
      </c>
      <c r="AC72" s="18"/>
      <c r="AF72" s="8" t="str">
        <f>HYPERLINK(CONCATENATE(TabelleURL!$B$1,"340_Helfer/3404700.pdf"), "B-3404700")</f>
        <v>B-3404700</v>
      </c>
      <c r="AG72" s="2" t="str">
        <f>HYPERLINK(CONCATENATE(TabelleURL!$B$1,"340_Helfer/3404701.pdf"), "3404701")</f>
        <v>3404701</v>
      </c>
      <c r="AH72" s="4" t="str">
        <f>HYPERLINK(CONCATENATE(TabelleURL!$B$1,"346_CAN2com/3475812.pdf"), "3475812")</f>
        <v>3475812</v>
      </c>
      <c r="AI72" s="5" t="str">
        <f>HYPERLINK(CONCATENATE(TabelleURL!$B$1,"3499_Taxi/34990030.pdf"), "34990030")</f>
        <v>34990030</v>
      </c>
      <c r="AL72" s="3" t="s">
        <v>7</v>
      </c>
      <c r="AN72" s="2" t="str">
        <f>HYPERLINK(CONCATENATE(TabelleURL!$B$1,"350_RICI_PDC_OBI/3500031 OBI Alfa BMW Fiat Merc Opel VW D_E.pdf"), "3500031")</f>
        <v>3500031</v>
      </c>
      <c r="AO72" s="7">
        <v>3530001</v>
      </c>
      <c r="AP72" s="2" t="str">
        <f>HYPERLINK(CONCATENATE(TabelleURL!$B$1,"367/3674700.pdf"), "3674700")</f>
        <v>3674700</v>
      </c>
      <c r="AU72" s="10"/>
    </row>
    <row r="73" spans="1:47">
      <c r="A73" s="19" t="s">
        <v>120</v>
      </c>
      <c r="B73" s="19" t="s">
        <v>154</v>
      </c>
      <c r="C73" s="19" t="s">
        <v>161</v>
      </c>
      <c r="D73" s="19" t="s">
        <v>162</v>
      </c>
      <c r="E73" s="77"/>
      <c r="F73" s="71" t="s">
        <v>163</v>
      </c>
      <c r="G73" s="2" t="str">
        <f>HYPERLINK(CONCATENATE(TabelleURL!$B$1,"342_ADIF/342BM01.pdf"), "342BM01/0/KA")</f>
        <v>342BM01/0/KA</v>
      </c>
      <c r="M73" s="5" t="str">
        <f>HYPERLINK(CONCATENATE(TabelleURL!$B$1,"345_Signalbox/3450259.pdf"), "3450259")</f>
        <v>3450259</v>
      </c>
      <c r="O73" s="5" t="str">
        <f>HYPERLINK(CONCATENATE(TabelleURL!$B$1,"345_Signalbox/3450259-V.pdf"), "3450259-V")</f>
        <v>3450259-V</v>
      </c>
      <c r="P73" s="5" t="str">
        <f>HYPERLINK(CONCATENATE(TabelleURL!$B$1,"345_Signalbox/3450259-W.pdf"), "3450259-W")</f>
        <v>3450259-W</v>
      </c>
      <c r="T73" s="63"/>
      <c r="U73" s="5"/>
      <c r="W73" s="5"/>
      <c r="X73" s="17"/>
      <c r="Y73" s="8"/>
      <c r="AC73" s="18"/>
      <c r="AF73" s="8" t="str">
        <f>HYPERLINK(CONCATENATE(TabelleURL!$B$1,"340_Helfer/3404700.pdf"), "B-3404700")</f>
        <v>B-3404700</v>
      </c>
      <c r="AG73" s="2" t="str">
        <f>HYPERLINK(CONCATENATE(TabelleURL!$B$1,"340_Helfer/3404701.pdf"), "3404701")</f>
        <v>3404701</v>
      </c>
      <c r="AH73" s="4" t="str">
        <f>HYPERLINK(CONCATENATE(TabelleURL!$B$1,"346_CAN2com/3475812.pdf"), "3475812")</f>
        <v>3475812</v>
      </c>
      <c r="AI73" s="5" t="str">
        <f>HYPERLINK(CONCATENATE(TabelleURL!$B$1,"3499_Taxi/34990031.pdf"), "34990031")</f>
        <v>34990031</v>
      </c>
      <c r="AO73" s="7">
        <v>3530004</v>
      </c>
      <c r="AP73" s="2" t="str">
        <f>HYPERLINK(CONCATENATE(TabelleURL!$B$1,"367/3674700.pdf"), "3674700")</f>
        <v>3674700</v>
      </c>
      <c r="AQ73" s="7" t="s">
        <v>149</v>
      </c>
      <c r="AT73" s="2" t="str">
        <f>HYPERLINK(CONCATENATE(TabelleURL!$B$1,"340_Helfer/3406812.pdf"), "B-3406812")</f>
        <v>B-3406812</v>
      </c>
      <c r="AU73" s="10"/>
    </row>
    <row r="74" spans="1:47" s="22" customFormat="1">
      <c r="A74" s="19" t="s">
        <v>120</v>
      </c>
      <c r="B74" s="19" t="s">
        <v>154</v>
      </c>
      <c r="C74" s="19" t="s">
        <v>164</v>
      </c>
      <c r="D74" s="19" t="s">
        <v>104</v>
      </c>
      <c r="E74" s="77"/>
      <c r="F74" s="71"/>
      <c r="G74" s="2" t="str">
        <f>HYPERLINK(CONCATENATE(TabelleURL!$B$1,"342_ADIF/342BM01.pdf"), "342BM01/0/KA")</f>
        <v>342BM01/0/KA</v>
      </c>
      <c r="H74" s="2"/>
      <c r="I74" s="2"/>
      <c r="J74" s="2"/>
      <c r="K74" s="3"/>
      <c r="L74" s="4"/>
      <c r="M74" s="5" t="str">
        <f>HYPERLINK(CONCATENATE(TabelleURL!$B$1,"345_Signalbox/3450259.pdf"), "3450259")</f>
        <v>3450259</v>
      </c>
      <c r="N74" s="5"/>
      <c r="O74" s="5" t="str">
        <f>HYPERLINK(CONCATENATE(TabelleURL!$B$1,"345_Signalbox/3450259-V.pdf"), "3450259-V")</f>
        <v>3450259-V</v>
      </c>
      <c r="P74" s="5" t="str">
        <f>HYPERLINK(CONCATENATE(TabelleURL!$B$1,"345_Signalbox/3450259-W.pdf"), "3450259-W")</f>
        <v>3450259-W</v>
      </c>
      <c r="Q74" s="61"/>
      <c r="R74" s="66"/>
      <c r="S74" s="67"/>
      <c r="T74" s="63"/>
      <c r="U74" s="5"/>
      <c r="V74" s="4"/>
      <c r="W74" s="5"/>
      <c r="X74" s="17"/>
      <c r="Y74" s="8"/>
      <c r="Z74" s="2"/>
      <c r="AA74" s="4"/>
      <c r="AB74" s="2"/>
      <c r="AC74" s="17"/>
      <c r="AD74" s="8"/>
      <c r="AE74" s="2"/>
      <c r="AF74" s="8" t="str">
        <f>HYPERLINK(CONCATENATE(TabelleURL!$B$1,"340_Helfer/3404700.pdf"), "B-3404700")</f>
        <v>B-3404700</v>
      </c>
      <c r="AG74" s="2" t="str">
        <f>HYPERLINK(CONCATENATE(TabelleURL!$B$1,"340_Helfer/3404701.pdf"), "3404701")</f>
        <v>3404701</v>
      </c>
      <c r="AH74" s="4" t="str">
        <f>HYPERLINK(CONCATENATE(TabelleURL!$B$1,"346_CAN2com/3475812.pdf"), "3475812")</f>
        <v>3475812</v>
      </c>
      <c r="AI74" s="5" t="str">
        <f>HYPERLINK(CONCATENATE(TabelleURL!$B$1,"3499_Taxi/34990031.pdf"), "34990031")</f>
        <v>34990031</v>
      </c>
      <c r="AJ74" s="5"/>
      <c r="AK74" s="5"/>
      <c r="AL74" s="3"/>
      <c r="AM74" s="7"/>
      <c r="AN74" s="2"/>
      <c r="AO74" s="7" t="s">
        <v>131</v>
      </c>
      <c r="AP74" s="2" t="str">
        <f>HYPERLINK(CONCATENATE(TabelleURL!$B$1,"367/3674700.pdf"), "3674700")</f>
        <v>3674700</v>
      </c>
      <c r="AQ74" s="7" t="s">
        <v>149</v>
      </c>
      <c r="AR74" s="3"/>
      <c r="AS74" s="10"/>
      <c r="AT74" s="2" t="str">
        <f>HYPERLINK(CONCATENATE(TabelleURL!$B$1,"340_Helfer/3406812.pdf"), "B-3406812")</f>
        <v>B-3406812</v>
      </c>
      <c r="AU74" s="21"/>
    </row>
    <row r="75" spans="1:47">
      <c r="A75" s="19" t="s">
        <v>120</v>
      </c>
      <c r="B75" s="19" t="s">
        <v>165</v>
      </c>
      <c r="C75" s="19" t="s">
        <v>166</v>
      </c>
      <c r="D75" s="19" t="s">
        <v>92</v>
      </c>
      <c r="E75" s="77"/>
      <c r="F75" s="71"/>
      <c r="G75" s="2" t="str">
        <f>HYPERLINK(CONCATENATE(TabelleURL!$B$1,"342_ADIF/342BM01.pdf"), "342BM01/0/KA")</f>
        <v>342BM01/0/KA</v>
      </c>
      <c r="H75" s="2" t="s">
        <v>123</v>
      </c>
      <c r="M75" s="5" t="str">
        <f>HYPERLINK(CONCATENATE(TabelleURL!$B$1,"345_Signalbox/3450259.pdf"), "3450259")</f>
        <v>3450259</v>
      </c>
      <c r="O75" s="5" t="str">
        <f>HYPERLINK(CONCATENATE(TabelleURL!$B$1,"345_Signalbox/3450259-V.pdf"), "3450259-V")</f>
        <v>3450259-V</v>
      </c>
      <c r="P75" s="5" t="str">
        <f>HYPERLINK(CONCATENATE(TabelleURL!$B$1,"345_Signalbox/3450259-W.pdf"), "3450259-W")</f>
        <v>3450259-W</v>
      </c>
      <c r="T75" s="63"/>
      <c r="U75" s="5"/>
      <c r="W75" s="5"/>
      <c r="X75" s="17"/>
      <c r="Y75" s="8"/>
      <c r="AC75" s="18"/>
      <c r="AF75" s="8" t="str">
        <f>HYPERLINK(CONCATENATE(TabelleURL!$B$1,"340_Helfer/3404700.pdf"), "B-3404700")</f>
        <v>B-3404700</v>
      </c>
      <c r="AG75" s="2" t="str">
        <f>HYPERLINK(CONCATENATE(TabelleURL!$B$1,"340_Helfer/3404701.pdf"), "3404701")</f>
        <v>3404701</v>
      </c>
      <c r="AH75" s="4" t="str">
        <f>HYPERLINK(CONCATENATE(TabelleURL!$B$1,"346_CAN2com/3475812.pdf"), "3475812")</f>
        <v>3475812</v>
      </c>
      <c r="AL75" s="3" t="s">
        <v>7</v>
      </c>
      <c r="AN75" s="2" t="str">
        <f>HYPERLINK(CONCATENATE(TabelleURL!$B$1,"350_RICI_PDC_OBI/3500031 OBI Alfa BMW Fiat Merc Opel VW D_E.pdf"), "3500031")</f>
        <v>3500031</v>
      </c>
      <c r="AP75" s="2" t="str">
        <f>HYPERLINK(CONCATENATE(TabelleURL!$B$1,"367/3674700.pdf"), "3674700")</f>
        <v>3674700</v>
      </c>
      <c r="AU75" s="10"/>
    </row>
    <row r="76" spans="1:47">
      <c r="A76" s="19" t="s">
        <v>120</v>
      </c>
      <c r="B76" s="19" t="s">
        <v>165</v>
      </c>
      <c r="C76" s="19" t="s">
        <v>166</v>
      </c>
      <c r="D76" s="19" t="s">
        <v>92</v>
      </c>
      <c r="E76" s="77" t="s">
        <v>160</v>
      </c>
      <c r="F76" s="71"/>
      <c r="G76" s="2" t="str">
        <f>HYPERLINK(CONCATENATE(TabelleURL!$B$1,"342_ADIF/342BM01.pdf"), "342BM01/0/KA")</f>
        <v>342BM01/0/KA</v>
      </c>
      <c r="H76" s="2" t="s">
        <v>123</v>
      </c>
      <c r="M76" s="5" t="str">
        <f>HYPERLINK(CONCATENATE(TabelleURL!$B$1,"345_Signalbox/3450259.pdf"), "3450259")</f>
        <v>3450259</v>
      </c>
      <c r="O76" s="5" t="str">
        <f>HYPERLINK(CONCATENATE(TabelleURL!$B$1,"345_Signalbox/3450259-V.pdf"), "3450259-V")</f>
        <v>3450259-V</v>
      </c>
      <c r="P76" s="5" t="str">
        <f>HYPERLINK(CONCATENATE(TabelleURL!$B$1,"345_Signalbox/3450259-W.pdf"), "3450259-W")</f>
        <v>3450259-W</v>
      </c>
      <c r="R76" s="66" t="s">
        <v>11</v>
      </c>
      <c r="S76" s="67" t="s">
        <v>124</v>
      </c>
      <c r="T76" s="63">
        <v>3470005</v>
      </c>
      <c r="U76" s="5" t="s">
        <v>125</v>
      </c>
      <c r="W76" s="5"/>
      <c r="X76" s="17" t="s">
        <v>11</v>
      </c>
      <c r="Y76" s="8" t="s">
        <v>126</v>
      </c>
      <c r="AC76" s="18"/>
      <c r="AF76" s="8" t="str">
        <f>HYPERLINK(CONCATENATE(TabelleURL!$B$1,"340_Helfer/3404700.pdf"), "B-3404700")</f>
        <v>B-3404700</v>
      </c>
      <c r="AG76" s="2" t="str">
        <f>HYPERLINK(CONCATENATE(TabelleURL!$B$1,"340_Helfer/3404701.pdf"), "3404701")</f>
        <v>3404701</v>
      </c>
      <c r="AH76" s="4" t="str">
        <f>HYPERLINK(CONCATENATE(TabelleURL!$B$1,"346_CAN2com/3475812.pdf"), "3475812")</f>
        <v>3475812</v>
      </c>
      <c r="AL76" s="3" t="s">
        <v>7</v>
      </c>
      <c r="AN76" s="2" t="str">
        <f>HYPERLINK(CONCATENATE(TabelleURL!$B$1,"350_RICI_PDC_OBI/3500031 OBI Alfa BMW Fiat Merc Opel VW D_E.pdf"), "3500031")</f>
        <v>3500031</v>
      </c>
      <c r="AP76" s="2" t="str">
        <f>HYPERLINK(CONCATENATE(TabelleURL!$B$1,"367/3674700.pdf"), "3674700")</f>
        <v>3674700</v>
      </c>
      <c r="AU76" s="10"/>
    </row>
    <row r="77" spans="1:47">
      <c r="A77" s="19" t="s">
        <v>120</v>
      </c>
      <c r="B77" s="19" t="s">
        <v>165</v>
      </c>
      <c r="C77" s="19" t="s">
        <v>167</v>
      </c>
      <c r="D77" s="19" t="s">
        <v>86</v>
      </c>
      <c r="E77" s="77"/>
      <c r="F77" s="71"/>
      <c r="T77" s="63"/>
      <c r="U77" s="5"/>
      <c r="W77" s="5"/>
      <c r="X77" s="17"/>
      <c r="Y77" s="8"/>
      <c r="AC77" s="18"/>
      <c r="AF77" s="8" t="str">
        <f>HYPERLINK(CONCATENATE(TabelleURL!$B$1,"340_Helfer/3404700.pdf"), "B-3404700")</f>
        <v>B-3404700</v>
      </c>
      <c r="AG77" s="2" t="str">
        <f>HYPERLINK(CONCATENATE(TabelleURL!$B$1,"340_Helfer/3404701.pdf"), "3404701")</f>
        <v>3404701</v>
      </c>
      <c r="AH77" s="4" t="str">
        <f>HYPERLINK(CONCATENATE(TabelleURL!$B$1,"346_CAN2com/3475812.pdf"), "3475812")</f>
        <v>3475812</v>
      </c>
      <c r="AI77" s="5" t="str">
        <f>HYPERLINK(CONCATENATE(TabelleURL!$B$1,"3499_Taxi/34990031.pdf"), "34990031")</f>
        <v>34990031</v>
      </c>
      <c r="AP77" s="2" t="str">
        <f>HYPERLINK(CONCATENATE(TabelleURL!$B$1,"367/3674700.pdf"), "3674700")</f>
        <v>3674700</v>
      </c>
      <c r="AT77" s="2" t="str">
        <f>HYPERLINK(CONCATENATE(TabelleURL!$B$1,"340_Helfer/3406812.pdf"), "B-3406812")</f>
        <v>B-3406812</v>
      </c>
      <c r="AU77" s="10"/>
    </row>
    <row r="78" spans="1:47">
      <c r="A78" s="19" t="s">
        <v>120</v>
      </c>
      <c r="B78" s="19" t="s">
        <v>168</v>
      </c>
      <c r="C78" s="19" t="s">
        <v>169</v>
      </c>
      <c r="D78" s="19" t="s">
        <v>170</v>
      </c>
      <c r="E78" s="77"/>
      <c r="F78" s="71"/>
      <c r="G78" s="2" t="str">
        <f>HYPERLINK(CONCATENATE(TabelleURL!$B$1,"342_ADIF/342BM01.pdf"), "342BM01/0/KA")</f>
        <v>342BM01/0/KA</v>
      </c>
      <c r="H78" s="2" t="s">
        <v>123</v>
      </c>
      <c r="M78" s="5" t="str">
        <f>HYPERLINK(CONCATENATE(TabelleURL!$B$1,"345_Signalbox/3450259.pdf"), "3450259")</f>
        <v>3450259</v>
      </c>
      <c r="O78" s="5" t="str">
        <f>HYPERLINK(CONCATENATE(TabelleURL!$B$1,"345_Signalbox/3450259-V.pdf"), "3450259-V")</f>
        <v>3450259-V</v>
      </c>
      <c r="P78" s="5" t="str">
        <f>HYPERLINK(CONCATENATE(TabelleURL!$B$1,"345_Signalbox/3450259-W.pdf"), "3450259-W")</f>
        <v>3450259-W</v>
      </c>
      <c r="T78" s="63"/>
      <c r="U78" s="5"/>
      <c r="W78" s="5"/>
      <c r="X78" s="17"/>
      <c r="Y78" s="8"/>
      <c r="AC78" s="18"/>
      <c r="AF78" s="8" t="str">
        <f>HYPERLINK(CONCATENATE(TabelleURL!$B$1,"340_Helfer/3404700.pdf"), "B-3404700")</f>
        <v>B-3404700</v>
      </c>
      <c r="AG78" s="2" t="str">
        <f>HYPERLINK(CONCATENATE(TabelleURL!$B$1,"340_Helfer/3404701.pdf"), "3404701")</f>
        <v>3404701</v>
      </c>
      <c r="AH78" s="4" t="str">
        <f>HYPERLINK(CONCATENATE(TabelleURL!$B$1,"346_CAN2com/3475812.pdf"), "3475812")</f>
        <v>3475812</v>
      </c>
      <c r="AL78" s="3" t="s">
        <v>7</v>
      </c>
      <c r="AN78" s="2" t="str">
        <f>HYPERLINK(CONCATENATE(TabelleURL!$B$1,"350_RICI_PDC_OBI/3500031 OBI Alfa BMW Fiat Merc Opel VW D_E.pdf"), "3500031")</f>
        <v>3500031</v>
      </c>
      <c r="AP78" s="2" t="str">
        <f>HYPERLINK(CONCATENATE(TabelleURL!$B$1,"367/3674700.pdf"), "3674700")</f>
        <v>3674700</v>
      </c>
      <c r="AT78" s="2"/>
      <c r="AU78" s="10"/>
    </row>
    <row r="79" spans="1:47">
      <c r="A79" s="19" t="s">
        <v>120</v>
      </c>
      <c r="B79" s="19" t="s">
        <v>168</v>
      </c>
      <c r="C79" s="19" t="s">
        <v>171</v>
      </c>
      <c r="D79" s="19" t="s">
        <v>172</v>
      </c>
      <c r="E79" s="77"/>
      <c r="F79" s="71"/>
      <c r="G79" s="2" t="str">
        <f>HYPERLINK(CONCATENATE(TabelleURL!$B$1,"342_ADIF/342BM01.pdf"), "342BM01/0/KA")</f>
        <v>342BM01/0/KA</v>
      </c>
      <c r="M79" s="5" t="str">
        <f>HYPERLINK(CONCATENATE(TabelleURL!$B$1,"345_Signalbox/3450259.pdf"), "3450259")</f>
        <v>3450259</v>
      </c>
      <c r="O79" s="5" t="str">
        <f>HYPERLINK(CONCATENATE(TabelleURL!$B$1,"345_Signalbox/3450259-V.pdf"), "3450259-V")</f>
        <v>3450259-V</v>
      </c>
      <c r="P79" s="5" t="str">
        <f>HYPERLINK(CONCATENATE(TabelleURL!$B$1,"345_Signalbox/3450259-W.pdf"), "3450259-W")</f>
        <v>3450259-W</v>
      </c>
      <c r="T79" s="63"/>
      <c r="U79" s="5"/>
      <c r="W79" s="5"/>
      <c r="X79" s="17"/>
      <c r="Y79" s="8"/>
      <c r="AC79" s="18"/>
      <c r="AF79" s="8" t="str">
        <f>HYPERLINK(CONCATENATE(TabelleURL!$B$1,"340_Helfer/3404700.pdf"), "B-3404700")</f>
        <v>B-3404700</v>
      </c>
      <c r="AG79" s="2" t="str">
        <f>HYPERLINK(CONCATENATE(TabelleURL!$B$1,"340_Helfer/3404701.pdf"), "3404701")</f>
        <v>3404701</v>
      </c>
      <c r="AH79" s="4" t="str">
        <f>HYPERLINK(CONCATENATE(TabelleURL!$B$1,"346_CAN2com/3475812.pdf"), "3475812")</f>
        <v>3475812</v>
      </c>
      <c r="AI79" s="5" t="str">
        <f>HYPERLINK(CONCATENATE(TabelleURL!$B$1,"3499_Taxi/34990031.pdf"), "34990031")</f>
        <v>34990031</v>
      </c>
      <c r="AN79" s="2" t="str">
        <f>HYPERLINK(CONCATENATE(TabelleURL!$B$1,"350_RICI_PDC_OBI/3500031 OBI Alfa BMW Fiat Merc Opel VW D_E.pdf"), "3500031")</f>
        <v>3500031</v>
      </c>
      <c r="AO79" s="7">
        <v>3530004</v>
      </c>
      <c r="AP79" s="2" t="str">
        <f>HYPERLINK(CONCATENATE(TabelleURL!$B$1,"367/3674700.pdf"), "3674700")</f>
        <v>3674700</v>
      </c>
      <c r="AT79" s="2" t="str">
        <f>HYPERLINK(CONCATENATE(TabelleURL!$B$1,"340_Helfer/3406812.pdf"), "B-3406812")</f>
        <v>B-3406812</v>
      </c>
      <c r="AU79" s="10"/>
    </row>
    <row r="80" spans="1:47">
      <c r="A80" s="19" t="s">
        <v>120</v>
      </c>
      <c r="B80" s="19" t="s">
        <v>168</v>
      </c>
      <c r="C80" s="19" t="s">
        <v>173</v>
      </c>
      <c r="D80" s="19" t="s">
        <v>73</v>
      </c>
      <c r="E80" s="77"/>
      <c r="F80" s="71"/>
      <c r="G80" s="2" t="str">
        <f>HYPERLINK(CONCATENATE(TabelleURL!$B$1,"342_ADIF/342BM01.pdf"), "342BM01/0/KA")</f>
        <v>342BM01/0/KA</v>
      </c>
      <c r="T80" s="63"/>
      <c r="U80" s="5"/>
      <c r="W80" s="5"/>
      <c r="X80" s="17"/>
      <c r="Y80" s="8"/>
      <c r="AC80" s="18"/>
      <c r="AG80" s="2"/>
      <c r="AI80" s="5" t="str">
        <f>HYPERLINK(CONCATENATE(TabelleURL!$B$1,"3499_Taxi/34990031.pdf"), "B-34990032")</f>
        <v>B-34990032</v>
      </c>
      <c r="AO80" s="7" t="s">
        <v>131</v>
      </c>
      <c r="AP80" s="2"/>
      <c r="AT80" s="2" t="str">
        <f>HYPERLINK(CONCATENATE(TabelleURL!$B$1,"340_Helfer/3406812.pdf"), "B-3406812")</f>
        <v>B-3406812</v>
      </c>
      <c r="AU80" s="10"/>
    </row>
    <row r="81" spans="1:47">
      <c r="A81" s="19" t="s">
        <v>120</v>
      </c>
      <c r="B81" s="19" t="s">
        <v>174</v>
      </c>
      <c r="C81" s="19" t="s">
        <v>175</v>
      </c>
      <c r="D81" s="19" t="s">
        <v>19</v>
      </c>
      <c r="E81" s="77"/>
      <c r="F81" s="71"/>
      <c r="G81" s="2" t="str">
        <f>HYPERLINK(CONCATENATE(TabelleURL!$B$1,"342_ADIF/342BM01.pdf"), "342BM01/0/KA")</f>
        <v>342BM01/0/KA</v>
      </c>
      <c r="M81" s="5" t="str">
        <f>HYPERLINK(CONCATENATE(TabelleURL!$B$1,"345_Signalbox/3450259.pdf"), "3450259")</f>
        <v>3450259</v>
      </c>
      <c r="P81" s="5" t="str">
        <f>HYPERLINK(CONCATENATE(TabelleURL!$B$1,"345_Signalbox/3450259-W.pdf"), "3450259-W")</f>
        <v>3450259-W</v>
      </c>
      <c r="T81" s="63"/>
      <c r="U81" s="5"/>
      <c r="W81" s="5"/>
      <c r="X81" s="17"/>
      <c r="Y81" s="8"/>
      <c r="AC81" s="18"/>
      <c r="AF81" s="8" t="str">
        <f>HYPERLINK(CONCATENATE(TabelleURL!$B$1,"340_Helfer/3404700.pdf"), "B-3404700")</f>
        <v>B-3404700</v>
      </c>
      <c r="AG81" s="2" t="str">
        <f>HYPERLINK(CONCATENATE(TabelleURL!$B$1,"340_Helfer/3404701.pdf"), "3404701")</f>
        <v>3404701</v>
      </c>
      <c r="AH81" s="4" t="str">
        <f>HYPERLINK(CONCATENATE(TabelleURL!$B$1,"346_CAN2com/3475812.pdf"), "3475812")</f>
        <v>3475812</v>
      </c>
      <c r="AI81" s="5" t="str">
        <f>HYPERLINK(CONCATENATE(TabelleURL!$B$1,"3499_Taxi/34990031.pdf"), "34990031")</f>
        <v>34990031</v>
      </c>
      <c r="AP81" s="2" t="str">
        <f>HYPERLINK(CONCATENATE(TabelleURL!$B$1,"367/3674700.pdf"), "3674700")</f>
        <v>3674700</v>
      </c>
      <c r="AU81" s="10"/>
    </row>
    <row r="82" spans="1:47">
      <c r="A82" s="19" t="s">
        <v>120</v>
      </c>
      <c r="B82" s="19" t="s">
        <v>176</v>
      </c>
      <c r="C82" s="19" t="s">
        <v>177</v>
      </c>
      <c r="D82" s="19" t="s">
        <v>178</v>
      </c>
      <c r="E82" s="77"/>
      <c r="F82" s="71"/>
      <c r="G82" s="2" t="str">
        <f>HYPERLINK(CONCATENATE(TabelleURL!$B$1,"342_ADIF/342BM01.pdf"), "342BM01/0/KA")</f>
        <v>342BM01/0/KA</v>
      </c>
      <c r="H82" s="2" t="s">
        <v>123</v>
      </c>
      <c r="M82" s="5" t="str">
        <f>HYPERLINK(CONCATENATE(TabelleURL!$B$1,"345_Signalbox/3450259.pdf"), "3450259")</f>
        <v>3450259</v>
      </c>
      <c r="O82" s="5" t="str">
        <f>HYPERLINK(CONCATENATE(TabelleURL!$B$1,"345_Signalbox/3450259-V.pdf"), "3450259-V")</f>
        <v>3450259-V</v>
      </c>
      <c r="P82" s="5" t="str">
        <f>HYPERLINK(CONCATENATE(TabelleURL!$B$1,"345_Signalbox/3450259-W.pdf"), "3450259-W")</f>
        <v>3450259-W</v>
      </c>
      <c r="R82" s="66" t="s">
        <v>11</v>
      </c>
      <c r="S82" s="67" t="s">
        <v>124</v>
      </c>
      <c r="T82" s="63"/>
      <c r="U82" s="5" t="s">
        <v>125</v>
      </c>
      <c r="W82" s="5"/>
      <c r="X82" s="17" t="s">
        <v>11</v>
      </c>
      <c r="Y82" s="8" t="s">
        <v>126</v>
      </c>
      <c r="AC82" s="18" t="s">
        <v>11</v>
      </c>
      <c r="AD82" s="4" t="str">
        <f>HYPERLINK(CONCATENATE(TabelleURL!$B$1,"367/3674212-PDC.pdf"), "3674212-PDC")</f>
        <v>3674212-PDC</v>
      </c>
      <c r="AF82" s="8" t="str">
        <f>HYPERLINK(CONCATENATE(TabelleURL!$B$1,"340_Helfer/3404700.pdf"), "B-3404700")</f>
        <v>B-3404700</v>
      </c>
      <c r="AG82" s="2" t="str">
        <f>HYPERLINK(CONCATENATE(TabelleURL!$B$1,"340_Helfer/3404701.pdf"), "3404701")</f>
        <v>3404701</v>
      </c>
      <c r="AH82" s="4" t="str">
        <f>HYPERLINK(CONCATENATE(TabelleURL!$B$1,"346_CAN2com/3475812.pdf"), "3475812")</f>
        <v>3475812</v>
      </c>
      <c r="AL82" s="3" t="s">
        <v>7</v>
      </c>
      <c r="AO82" s="7">
        <v>3530002</v>
      </c>
      <c r="AP82" s="2" t="str">
        <f>HYPERLINK(CONCATENATE(TabelleURL!$B$1,"367/3674700.pdf"), "3674700")</f>
        <v>3674700</v>
      </c>
      <c r="AU82" s="10"/>
    </row>
    <row r="83" spans="1:47">
      <c r="A83" s="19" t="s">
        <v>120</v>
      </c>
      <c r="B83" s="19" t="s">
        <v>176</v>
      </c>
      <c r="C83" s="19" t="s">
        <v>179</v>
      </c>
      <c r="D83" s="19" t="s">
        <v>73</v>
      </c>
      <c r="E83" s="77"/>
      <c r="F83" s="71"/>
      <c r="G83" s="2" t="str">
        <f>HYPERLINK(CONCATENATE(TabelleURL!$B$1,"342_ADIF/342BM01.pdf"), "342BM01/0/KA")</f>
        <v>342BM01/0/KA</v>
      </c>
      <c r="M83" s="5" t="str">
        <f>HYPERLINK(CONCATENATE(TabelleURL!$B$1,"345_Signalbox/3450259.pdf"), "3450259")</f>
        <v>3450259</v>
      </c>
      <c r="P83" s="5" t="str">
        <f>HYPERLINK(CONCATENATE(TabelleURL!$B$1,"345_Signalbox/3450259-W.pdf"), "3450259-W")</f>
        <v>3450259-W</v>
      </c>
      <c r="T83" s="63"/>
      <c r="U83" s="5"/>
      <c r="W83" s="5"/>
      <c r="X83" s="17"/>
      <c r="Y83" s="8"/>
      <c r="AC83" s="18"/>
      <c r="AF83" s="8" t="str">
        <f>HYPERLINK(CONCATENATE(TabelleURL!$B$1,"340_Helfer/3404700.pdf"), "B-3404700")</f>
        <v>B-3404700</v>
      </c>
      <c r="AG83" s="2" t="str">
        <f>HYPERLINK(CONCATENATE(TabelleURL!$B$1,"340_Helfer/3404701.pdf"), "3404701")</f>
        <v>3404701</v>
      </c>
      <c r="AH83" s="4" t="str">
        <f>HYPERLINK(CONCATENATE(TabelleURL!$B$1,"346_CAN2com/3475812.pdf"), "3475812")</f>
        <v>3475812</v>
      </c>
      <c r="AI83" s="5" t="str">
        <f>HYPERLINK(CONCATENATE(TabelleURL!$B$1,"3499_Taxi/34990031.pdf"), "34990031")</f>
        <v>34990031</v>
      </c>
      <c r="AO83" s="7" t="s">
        <v>131</v>
      </c>
      <c r="AP83" s="2" t="str">
        <f>HYPERLINK(CONCATENATE(TabelleURL!$B$1,"367/3674700.pdf"), "3674700")</f>
        <v>3674700</v>
      </c>
      <c r="AT83" s="2" t="str">
        <f>HYPERLINK(CONCATENATE(TabelleURL!$B$1,"340_Helfer/3406812.pdf"), "B-3406812")</f>
        <v>B-3406812</v>
      </c>
      <c r="AU83" s="10"/>
    </row>
    <row r="84" spans="1:47">
      <c r="A84" s="19" t="s">
        <v>153</v>
      </c>
      <c r="B84" s="19" t="s">
        <v>180</v>
      </c>
      <c r="C84" s="19" t="s">
        <v>181</v>
      </c>
      <c r="D84" s="19" t="s">
        <v>92</v>
      </c>
      <c r="E84" s="77" t="s">
        <v>143</v>
      </c>
      <c r="F84" s="71"/>
      <c r="R84" s="66" t="s">
        <v>11</v>
      </c>
      <c r="S84" s="67" t="s">
        <v>140</v>
      </c>
      <c r="T84" s="63"/>
      <c r="U84" s="5"/>
      <c r="W84" s="5" t="s">
        <v>140</v>
      </c>
      <c r="X84" s="17"/>
      <c r="Y84" s="8"/>
      <c r="AC84" s="18"/>
      <c r="AG84" s="2" t="str">
        <f>HYPERLINK(CONCATENATE(TabelleURL!$B$1,"340_Helfer/3404701.pdf"), "3404701")</f>
        <v>3404701</v>
      </c>
      <c r="AH84" s="4" t="str">
        <f>HYPERLINK(CONCATENATE(TabelleURL!$B$1,"346_CAN2com/3475812.pdf"), "3475812")</f>
        <v>3475812</v>
      </c>
      <c r="AP84" s="2" t="str">
        <f>HYPERLINK(CONCATENATE(TabelleURL!$B$1,"367/3674700.pdf"), "3674700")</f>
        <v>3674700</v>
      </c>
      <c r="AU84" s="10"/>
    </row>
    <row r="85" spans="1:47">
      <c r="A85" s="19" t="s">
        <v>153</v>
      </c>
      <c r="B85" s="19" t="s">
        <v>180</v>
      </c>
      <c r="C85" s="19" t="s">
        <v>181</v>
      </c>
      <c r="D85" s="19" t="s">
        <v>92</v>
      </c>
      <c r="E85" s="77" t="s">
        <v>157</v>
      </c>
      <c r="F85" s="71"/>
      <c r="R85" s="66" t="s">
        <v>11</v>
      </c>
      <c r="S85" s="67" t="s">
        <v>145</v>
      </c>
      <c r="T85" s="63"/>
      <c r="U85" s="5"/>
      <c r="W85" s="5" t="s">
        <v>145</v>
      </c>
      <c r="X85" s="17"/>
      <c r="Y85" s="8"/>
      <c r="AC85" s="18"/>
      <c r="AG85" s="2" t="str">
        <f>HYPERLINK(CONCATENATE(TabelleURL!$B$1,"340_Helfer/3404701.pdf"), "3404701")</f>
        <v>3404701</v>
      </c>
      <c r="AH85" s="4" t="str">
        <f>HYPERLINK(CONCATENATE(TabelleURL!$B$1,"346_CAN2com/3475812.pdf"), "3475812")</f>
        <v>3475812</v>
      </c>
      <c r="AP85" s="2" t="str">
        <f>HYPERLINK(CONCATENATE(TabelleURL!$B$1,"367/3674700.pdf"), "3674700")</f>
        <v>3674700</v>
      </c>
      <c r="AU85" s="10"/>
    </row>
    <row r="86" spans="1:47">
      <c r="A86" s="19" t="s">
        <v>120</v>
      </c>
      <c r="B86" s="19" t="s">
        <v>180</v>
      </c>
      <c r="C86" s="19" t="s">
        <v>182</v>
      </c>
      <c r="D86" s="19" t="s">
        <v>27</v>
      </c>
      <c r="E86" s="77"/>
      <c r="F86" s="71"/>
      <c r="G86" s="2" t="str">
        <f>HYPERLINK(CONCATENATE(TabelleURL!$B$1,"342_ADIF/342BM01.pdf"), "342BM01/0/KA")</f>
        <v>342BM01/0/KA</v>
      </c>
      <c r="M86" s="5" t="str">
        <f>HYPERLINK(CONCATENATE(TabelleURL!$B$1,"345_Signalbox/3450259.pdf"), "3450259")</f>
        <v>3450259</v>
      </c>
      <c r="O86" s="5" t="str">
        <f>HYPERLINK(CONCATENATE(TabelleURL!$B$1,"345_Signalbox/3450259-V.pdf"), "3450259-V")</f>
        <v>3450259-V</v>
      </c>
      <c r="P86" s="5" t="str">
        <f>HYPERLINK(CONCATENATE(TabelleURL!$B$1,"345_Signalbox/3450259-W.pdf"), "3450259-W")</f>
        <v>3450259-W</v>
      </c>
      <c r="T86" s="63"/>
      <c r="U86" s="5"/>
      <c r="W86" s="5"/>
      <c r="X86" s="17"/>
      <c r="Y86" s="8"/>
      <c r="AC86" s="18"/>
      <c r="AF86" s="8" t="str">
        <f>HYPERLINK(CONCATENATE(TabelleURL!$B$1,"340_Helfer/3404700.pdf"), "B-3404700")</f>
        <v>B-3404700</v>
      </c>
      <c r="AG86" s="2" t="str">
        <f>HYPERLINK(CONCATENATE(TabelleURL!$B$1,"340_Helfer/3404701.pdf"), "3404701")</f>
        <v>3404701</v>
      </c>
      <c r="AH86" s="4" t="str">
        <f>HYPERLINK(CONCATENATE(TabelleURL!$B$1,"346_CAN2com/3475812.pdf"), "3475812")</f>
        <v>3475812</v>
      </c>
      <c r="AI86" s="5" t="str">
        <f>HYPERLINK(CONCATENATE(TabelleURL!$B$1,"3499_Taxi/34990031.pdf"), "34990031")</f>
        <v>34990031</v>
      </c>
      <c r="AL86" s="3" t="s">
        <v>7</v>
      </c>
      <c r="AO86" s="7">
        <v>3530002</v>
      </c>
      <c r="AP86" s="2" t="str">
        <f>HYPERLINK(CONCATENATE(TabelleURL!$B$1,"367/3674700.pdf"), "3674700")</f>
        <v>3674700</v>
      </c>
      <c r="AT86" s="2" t="str">
        <f>HYPERLINK(CONCATENATE(TabelleURL!$B$1,"340_Helfer/3406812.pdf"), "B-3406812")</f>
        <v>B-3406812</v>
      </c>
      <c r="AU86" s="10"/>
    </row>
    <row r="87" spans="1:47">
      <c r="A87" s="19" t="s">
        <v>120</v>
      </c>
      <c r="B87" s="19" t="s">
        <v>183</v>
      </c>
      <c r="C87" s="19" t="s">
        <v>184</v>
      </c>
      <c r="D87" s="19" t="s">
        <v>116</v>
      </c>
      <c r="E87" s="77"/>
      <c r="F87" s="71"/>
      <c r="G87" s="2" t="str">
        <f>HYPERLINK(CONCATENATE(TabelleURL!$B$1,"342_ADIF/342BM01.pdf"), "342BM01/0/KA")</f>
        <v>342BM01/0/KA</v>
      </c>
      <c r="M87" s="5" t="str">
        <f>HYPERLINK(CONCATENATE(TabelleURL!$B$1,"345_Signalbox/3450259.pdf"), "3450259")</f>
        <v>3450259</v>
      </c>
      <c r="O87" s="5" t="str">
        <f>HYPERLINK(CONCATENATE(TabelleURL!$B$1,"345_Signalbox/3450259-V.pdf"), "3450259-V")</f>
        <v>3450259-V</v>
      </c>
      <c r="P87" s="5" t="str">
        <f>HYPERLINK(CONCATENATE(TabelleURL!$B$1,"345_Signalbox/3450259-W.pdf"), "3450259-W")</f>
        <v>3450259-W</v>
      </c>
      <c r="T87" s="63"/>
      <c r="U87" s="5"/>
      <c r="W87" s="5"/>
      <c r="X87" s="17"/>
      <c r="Y87" s="8"/>
      <c r="AC87" s="18"/>
      <c r="AF87" s="8" t="str">
        <f>HYPERLINK(CONCATENATE(TabelleURL!$B$1,"340_Helfer/3404700.pdf"), "B-3404700")</f>
        <v>B-3404700</v>
      </c>
      <c r="AG87" s="2" t="str">
        <f>HYPERLINK(CONCATENATE(TabelleURL!$B$1,"340_Helfer/3404701.pdf"), "3404701")</f>
        <v>3404701</v>
      </c>
      <c r="AH87" s="4" t="str">
        <f>HYPERLINK(CONCATENATE(TabelleURL!$B$1,"346_CAN2com/3475812.pdf"), "3475812")</f>
        <v>3475812</v>
      </c>
      <c r="AI87" s="5" t="str">
        <f>HYPERLINK(CONCATENATE(TabelleURL!$B$1,"3499_Taxi/34990031.pdf"), "34990031")</f>
        <v>34990031</v>
      </c>
      <c r="AL87" s="3" t="s">
        <v>7</v>
      </c>
      <c r="AO87" s="7">
        <v>3530006</v>
      </c>
      <c r="AP87" s="2" t="str">
        <f>HYPERLINK(CONCATENATE(TabelleURL!$B$1,"367/3674700.pdf"), "3674700")</f>
        <v>3674700</v>
      </c>
      <c r="AT87" s="2" t="str">
        <f>HYPERLINK(CONCATENATE(TabelleURL!$B$1,"340_Helfer/3406812.pdf"), "B-3406812")</f>
        <v>B-3406812</v>
      </c>
      <c r="AU87" s="10"/>
    </row>
    <row r="88" spans="1:47">
      <c r="A88" s="19" t="s">
        <v>120</v>
      </c>
      <c r="B88" s="19" t="s">
        <v>185</v>
      </c>
      <c r="C88" s="19" t="s">
        <v>186</v>
      </c>
      <c r="D88" s="19" t="s">
        <v>187</v>
      </c>
      <c r="E88" s="77" t="s">
        <v>143</v>
      </c>
      <c r="F88" s="71"/>
      <c r="R88" s="66" t="s">
        <v>11</v>
      </c>
      <c r="S88" s="67" t="s">
        <v>140</v>
      </c>
      <c r="T88" s="63"/>
      <c r="U88" s="5"/>
      <c r="W88" s="5" t="s">
        <v>140</v>
      </c>
      <c r="X88" s="17"/>
      <c r="Y88" s="8"/>
      <c r="AC88" s="18"/>
      <c r="AU88" s="10"/>
    </row>
    <row r="89" spans="1:47">
      <c r="A89" s="19" t="s">
        <v>120</v>
      </c>
      <c r="B89" s="19" t="s">
        <v>185</v>
      </c>
      <c r="C89" s="19" t="s">
        <v>186</v>
      </c>
      <c r="D89" s="19" t="s">
        <v>187</v>
      </c>
      <c r="E89" s="77" t="s">
        <v>157</v>
      </c>
      <c r="F89" s="71"/>
      <c r="R89" s="66" t="s">
        <v>11</v>
      </c>
      <c r="S89" s="67" t="s">
        <v>145</v>
      </c>
      <c r="T89" s="63"/>
      <c r="U89" s="5"/>
      <c r="W89" s="5" t="s">
        <v>145</v>
      </c>
      <c r="X89" s="17"/>
      <c r="Y89" s="8"/>
      <c r="AB89" s="2" t="s">
        <v>127</v>
      </c>
      <c r="AC89" s="18"/>
      <c r="AU89" s="10"/>
    </row>
    <row r="90" spans="1:47" ht="25.5">
      <c r="A90" s="19" t="s">
        <v>120</v>
      </c>
      <c r="B90" s="19" t="s">
        <v>185</v>
      </c>
      <c r="C90" s="19" t="s">
        <v>188</v>
      </c>
      <c r="D90" s="19" t="s">
        <v>189</v>
      </c>
      <c r="E90" s="77"/>
      <c r="F90" s="71"/>
      <c r="G90" s="2" t="str">
        <f>HYPERLINK(CONCATENATE(TabelleURL!$B$1,"342_ADIF/342BM01.pdf"), "342BM01/0/KA")</f>
        <v>342BM01/0/KA</v>
      </c>
      <c r="H90" s="2" t="s">
        <v>123</v>
      </c>
      <c r="M90" s="5" t="str">
        <f>HYPERLINK(CONCATENATE(TabelleURL!$B$1,"345_Signalbox/3450259.pdf"), "3450259")</f>
        <v>3450259</v>
      </c>
      <c r="O90" s="5" t="str">
        <f>HYPERLINK(CONCATENATE(TabelleURL!$B$1,"345_Signalbox/3450259-V.pdf"), "3450259-V")</f>
        <v>3450259-V</v>
      </c>
      <c r="P90" s="5" t="str">
        <f>HYPERLINK(CONCATENATE(TabelleURL!$B$1,"345_Signalbox/3450259-W.pdf"), "3450259-W")</f>
        <v>3450259-W</v>
      </c>
      <c r="T90" s="63"/>
      <c r="U90" s="5"/>
      <c r="W90" s="5"/>
      <c r="X90" s="17"/>
      <c r="Y90" s="8"/>
      <c r="AC90" s="18"/>
      <c r="AF90" s="8" t="str">
        <f>HYPERLINK(CONCATENATE(TabelleURL!$B$1,"340_Helfer/3404700.pdf"), "B-3404700")</f>
        <v>B-3404700</v>
      </c>
      <c r="AG90" s="2" t="str">
        <f>HYPERLINK(CONCATENATE(TabelleURL!$B$1,"340_Helfer/3404701.pdf"), "3404701")</f>
        <v>3404701</v>
      </c>
      <c r="AH90" s="4" t="str">
        <f>HYPERLINK(CONCATENATE(TabelleURL!$B$1,"346_CAN2com/3475812.pdf"), "3475812")</f>
        <v>3475812</v>
      </c>
      <c r="AO90" s="7" t="s">
        <v>190</v>
      </c>
      <c r="AP90" s="2" t="str">
        <f>HYPERLINK(CONCATENATE(TabelleURL!$B$1,"367/3674700.pdf"), "3674700")</f>
        <v>3674700</v>
      </c>
      <c r="AU90" s="10"/>
    </row>
    <row r="91" spans="1:47">
      <c r="A91" s="19" t="s">
        <v>120</v>
      </c>
      <c r="B91" s="19" t="s">
        <v>185</v>
      </c>
      <c r="C91" s="19" t="s">
        <v>191</v>
      </c>
      <c r="D91" s="19" t="s">
        <v>19</v>
      </c>
      <c r="E91" s="77"/>
      <c r="F91" s="71"/>
      <c r="G91" s="2" t="str">
        <f>HYPERLINK(CONCATENATE(TabelleURL!$B$1,"342_ADIF/342BM01.pdf"), "342BM01/0/KA")</f>
        <v>342BM01/0/KA</v>
      </c>
      <c r="M91" s="5" t="str">
        <f>HYPERLINK(CONCATENATE(TabelleURL!$B$1,"345_Signalbox/3450259.pdf"), "3450259")</f>
        <v>3450259</v>
      </c>
      <c r="O91" s="5" t="str">
        <f>HYPERLINK(CONCATENATE(TabelleURL!$B$1,"345_Signalbox/3450259-V.pdf"), "3450259-V")</f>
        <v>3450259-V</v>
      </c>
      <c r="P91" s="5" t="str">
        <f>HYPERLINK(CONCATENATE(TabelleURL!$B$1,"345_Signalbox/3450259-W.pdf"), "3450259-W")</f>
        <v>3450259-W</v>
      </c>
      <c r="T91" s="63"/>
      <c r="U91" s="5"/>
      <c r="W91" s="5"/>
      <c r="X91" s="17"/>
      <c r="Y91" s="8"/>
      <c r="AC91" s="18"/>
      <c r="AF91" s="8" t="str">
        <f>HYPERLINK(CONCATENATE(TabelleURL!$B$1,"340_Helfer/3404700.pdf"), "B-3404700")</f>
        <v>B-3404700</v>
      </c>
      <c r="AG91" s="2" t="str">
        <f>HYPERLINK(CONCATENATE(TabelleURL!$B$1,"340_Helfer/3404701.pdf"), "3404701")</f>
        <v>3404701</v>
      </c>
      <c r="AH91" s="4" t="str">
        <f>HYPERLINK(CONCATENATE(TabelleURL!$B$1,"346_CAN2com/3475812.pdf"), "3475812")</f>
        <v>3475812</v>
      </c>
      <c r="AI91" s="5" t="str">
        <f>HYPERLINK(CONCATENATE(TabelleURL!$B$1,"3499_Taxi/34990031.pdf"), "34990031")</f>
        <v>34990031</v>
      </c>
      <c r="AO91" s="7" t="s">
        <v>192</v>
      </c>
      <c r="AP91" s="2" t="str">
        <f>HYPERLINK(CONCATENATE(TabelleURL!$B$1,"367/3674700.pdf"), "3674700")</f>
        <v>3674700</v>
      </c>
      <c r="AT91" s="2" t="str">
        <f>HYPERLINK(CONCATENATE(TabelleURL!$B$1,"340_Helfer/3406812.pdf"), "B-3406812")</f>
        <v>B-3406812</v>
      </c>
      <c r="AU91" s="10"/>
    </row>
    <row r="92" spans="1:47">
      <c r="A92" s="19" t="s">
        <v>120</v>
      </c>
      <c r="B92" s="19" t="s">
        <v>193</v>
      </c>
      <c r="C92" s="19" t="s">
        <v>194</v>
      </c>
      <c r="D92" s="19" t="s">
        <v>195</v>
      </c>
      <c r="E92" s="77" t="s">
        <v>160</v>
      </c>
      <c r="F92" s="71"/>
      <c r="G92" s="2" t="str">
        <f>HYPERLINK(CONCATENATE(TabelleURL!$B$1,"342_ADIF/342BM01.pdf"), "342BM01/0/KA")</f>
        <v>342BM01/0/KA</v>
      </c>
      <c r="H92" s="2" t="s">
        <v>123</v>
      </c>
      <c r="M92" s="5" t="str">
        <f>HYPERLINK(CONCATENATE(TabelleURL!$B$1,"345_Signalbox/3450259.pdf"), "3450259")</f>
        <v>3450259</v>
      </c>
      <c r="O92" s="5" t="str">
        <f>HYPERLINK(CONCATENATE(TabelleURL!$B$1,"345_Signalbox/3450259-V.pdf"), "3450259-V")</f>
        <v>3450259-V</v>
      </c>
      <c r="P92" s="5" t="str">
        <f>HYPERLINK(CONCATENATE(TabelleURL!$B$1,"345_Signalbox/3450259-W.pdf"), "3450259-W")</f>
        <v>3450259-W</v>
      </c>
      <c r="R92" s="66" t="s">
        <v>11</v>
      </c>
      <c r="S92" s="67" t="s">
        <v>124</v>
      </c>
      <c r="T92" s="63">
        <v>3470005</v>
      </c>
      <c r="U92" s="5" t="s">
        <v>125</v>
      </c>
      <c r="W92" s="5"/>
      <c r="X92" s="17" t="s">
        <v>11</v>
      </c>
      <c r="Y92" s="8" t="s">
        <v>126</v>
      </c>
      <c r="AC92" s="18" t="s">
        <v>11</v>
      </c>
      <c r="AD92" s="4" t="str">
        <f>HYPERLINK(CONCATENATE(TabelleURL!$B$1,"367/3674212-PDC.pdf"), "3674212-PDC")</f>
        <v>3674212-PDC</v>
      </c>
      <c r="AF92" s="8" t="str">
        <f>HYPERLINK(CONCATENATE(TabelleURL!$B$1,"340_Helfer/3404700.pdf"), "B-3404700")</f>
        <v>B-3404700</v>
      </c>
      <c r="AG92" s="2" t="str">
        <f>HYPERLINK(CONCATENATE(TabelleURL!$B$1,"340_Helfer/3404701.pdf"), "3404701")</f>
        <v>3404701</v>
      </c>
      <c r="AH92" s="4" t="str">
        <f>HYPERLINK(CONCATENATE(TabelleURL!$B$1,"346_CAN2com/3475812.pdf"), "3475812")</f>
        <v>3475812</v>
      </c>
      <c r="AP92" s="2" t="str">
        <f>HYPERLINK(CONCATENATE(TabelleURL!$B$1,"367/3674700.pdf"), "3674700")</f>
        <v>3674700</v>
      </c>
      <c r="AU92" s="10"/>
    </row>
    <row r="93" spans="1:47">
      <c r="A93" s="19" t="s">
        <v>120</v>
      </c>
      <c r="B93" s="19" t="s">
        <v>193</v>
      </c>
      <c r="C93" s="19" t="s">
        <v>196</v>
      </c>
      <c r="D93" s="19" t="s">
        <v>116</v>
      </c>
      <c r="E93" s="77"/>
      <c r="F93" s="71"/>
      <c r="G93" s="2" t="str">
        <f>HYPERLINK(CONCATENATE(TabelleURL!$B$1,"342_ADIF/342BM01.pdf"), "342BM01/0/KA")</f>
        <v>342BM01/0/KA</v>
      </c>
      <c r="M93" s="5" t="str">
        <f>HYPERLINK(CONCATENATE(TabelleURL!$B$1,"345_Signalbox/3450259.pdf"), "3450259")</f>
        <v>3450259</v>
      </c>
      <c r="O93" s="5" t="str">
        <f>HYPERLINK(CONCATENATE(TabelleURL!$B$1,"345_Signalbox/3450259-V.pdf"), "3450259-V")</f>
        <v>3450259-V</v>
      </c>
      <c r="P93" s="5" t="str">
        <f>HYPERLINK(CONCATENATE(TabelleURL!$B$1,"345_Signalbox/3450259-W.pdf"), "3450259-W")</f>
        <v>3450259-W</v>
      </c>
      <c r="T93" s="63"/>
      <c r="U93" s="5"/>
      <c r="W93" s="5"/>
      <c r="X93" s="17"/>
      <c r="Y93" s="8"/>
      <c r="AC93" s="18"/>
      <c r="AF93" s="8" t="str">
        <f>HYPERLINK(CONCATENATE(TabelleURL!$B$1,"340_Helfer/3404700.pdf"), "B-3404700")</f>
        <v>B-3404700</v>
      </c>
      <c r="AG93" s="2" t="str">
        <f>HYPERLINK(CONCATENATE(TabelleURL!$B$1,"340_Helfer/3404701.pdf"), "3404701")</f>
        <v>3404701</v>
      </c>
      <c r="AH93" s="4" t="str">
        <f>HYPERLINK(CONCATENATE(TabelleURL!$B$1,"346_CAN2com/3475812.pdf"), "3475812")</f>
        <v>3475812</v>
      </c>
      <c r="AI93" s="5" t="str">
        <f>HYPERLINK(CONCATENATE(TabelleURL!$B$1,"3499_Taxi/34990031.pdf"), "34990031")</f>
        <v>34990031</v>
      </c>
      <c r="AO93" s="7" t="s">
        <v>192</v>
      </c>
      <c r="AP93" s="2" t="str">
        <f>HYPERLINK(CONCATENATE(TabelleURL!$B$1,"367/3674700.pdf"), "3674700")</f>
        <v>3674700</v>
      </c>
      <c r="AT93" s="2" t="str">
        <f>HYPERLINK(CONCATENATE(TabelleURL!$B$1,"340_Helfer/3406812.pdf"), "B-3406812")</f>
        <v>B-3406812</v>
      </c>
      <c r="AU93" s="10"/>
    </row>
    <row r="94" spans="1:47">
      <c r="A94" s="19" t="s">
        <v>120</v>
      </c>
      <c r="B94" s="19" t="s">
        <v>197</v>
      </c>
      <c r="C94" s="19" t="s">
        <v>198</v>
      </c>
      <c r="D94" s="19" t="s">
        <v>199</v>
      </c>
      <c r="E94" s="77" t="s">
        <v>143</v>
      </c>
      <c r="F94" s="71"/>
      <c r="R94" s="66" t="s">
        <v>11</v>
      </c>
      <c r="S94" s="67" t="s">
        <v>140</v>
      </c>
      <c r="T94" s="63"/>
      <c r="U94" s="5"/>
      <c r="W94" s="5" t="s">
        <v>140</v>
      </c>
      <c r="X94" s="17"/>
      <c r="Y94" s="8"/>
      <c r="AC94" s="18"/>
      <c r="AF94" s="8" t="str">
        <f>HYPERLINK(CONCATENATE(TabelleURL!$B$1,"340_Helfer/3404700.pdf"), "B-3404700")</f>
        <v>B-3404700</v>
      </c>
      <c r="AG94" s="2" t="str">
        <f>HYPERLINK(CONCATENATE(TabelleURL!$B$1,"340_Helfer/3404701.pdf"), "3404701")</f>
        <v>3404701</v>
      </c>
      <c r="AH94" s="4" t="str">
        <f>HYPERLINK(CONCATENATE(TabelleURL!$B$1,"346_CAN2com/3475812.pdf"), "3475812")</f>
        <v>3475812</v>
      </c>
      <c r="AP94" s="2" t="str">
        <f>HYPERLINK(CONCATENATE(TabelleURL!$B$1,"367/3674700.pdf"), "3674700")</f>
        <v>3674700</v>
      </c>
      <c r="AU94" s="10"/>
    </row>
    <row r="95" spans="1:47">
      <c r="A95" s="19" t="s">
        <v>120</v>
      </c>
      <c r="B95" s="19" t="s">
        <v>197</v>
      </c>
      <c r="C95" s="19" t="s">
        <v>198</v>
      </c>
      <c r="D95" s="19" t="s">
        <v>199</v>
      </c>
      <c r="E95" s="77" t="s">
        <v>157</v>
      </c>
      <c r="F95" s="71"/>
      <c r="R95" s="66" t="s">
        <v>11</v>
      </c>
      <c r="S95" s="67" t="s">
        <v>145</v>
      </c>
      <c r="T95" s="63"/>
      <c r="U95" s="5"/>
      <c r="W95" s="5" t="s">
        <v>145</v>
      </c>
      <c r="X95" s="17"/>
      <c r="Y95" s="8"/>
      <c r="AB95" s="2" t="s">
        <v>127</v>
      </c>
      <c r="AC95" s="18"/>
      <c r="AD95" s="7" t="s">
        <v>6</v>
      </c>
      <c r="AF95" s="8" t="str">
        <f>HYPERLINK(CONCATENATE(TabelleURL!$B$1,"340_Helfer/3404700.pdf"), "B-3404700")</f>
        <v>B-3404700</v>
      </c>
      <c r="AG95" s="2" t="str">
        <f>HYPERLINK(CONCATENATE(TabelleURL!$B$1,"340_Helfer/3404701.pdf"), "3404701")</f>
        <v>3404701</v>
      </c>
      <c r="AH95" s="4" t="str">
        <f>HYPERLINK(CONCATENATE(TabelleURL!$B$1,"346_CAN2com/3475812.pdf"), "3475812")</f>
        <v>3475812</v>
      </c>
      <c r="AP95" s="2" t="str">
        <f>HYPERLINK(CONCATENATE(TabelleURL!$B$1,"367/3674700.pdf"), "3674700")</f>
        <v>3674700</v>
      </c>
      <c r="AU95" s="10"/>
    </row>
    <row r="96" spans="1:47">
      <c r="A96" s="19" t="s">
        <v>120</v>
      </c>
      <c r="B96" s="19" t="s">
        <v>200</v>
      </c>
      <c r="C96" s="19" t="s">
        <v>198</v>
      </c>
      <c r="D96" s="19" t="s">
        <v>201</v>
      </c>
      <c r="E96" s="77"/>
      <c r="F96" s="71"/>
      <c r="G96" s="2" t="str">
        <f>HYPERLINK(CONCATENATE(TabelleURL!$B$1,"342_ADIF/342BM01.pdf"), "342BM01/0/KA")</f>
        <v>342BM01/0/KA</v>
      </c>
      <c r="H96" s="2" t="s">
        <v>123</v>
      </c>
      <c r="M96" s="5" t="str">
        <f>HYPERLINK(CONCATENATE(TabelleURL!$B$1,"345_Signalbox/3450259.pdf"), "3450259")</f>
        <v>3450259</v>
      </c>
      <c r="O96" s="5" t="str">
        <f>HYPERLINK(CONCATENATE(TabelleURL!$B$1,"345_Signalbox/3450259-V.pdf"), "3450259-V")</f>
        <v>3450259-V</v>
      </c>
      <c r="P96" s="5" t="str">
        <f>HYPERLINK(CONCATENATE(TabelleURL!$B$1,"345_Signalbox/3450259-W.pdf"), "3450259-W")</f>
        <v>3450259-W</v>
      </c>
      <c r="T96" s="63"/>
      <c r="U96" s="5"/>
      <c r="W96" s="5"/>
      <c r="X96" s="17"/>
      <c r="Y96" s="8"/>
      <c r="AC96" s="18"/>
      <c r="AG96" s="2"/>
      <c r="AP96" s="2"/>
      <c r="AU96" s="10"/>
    </row>
    <row r="97" spans="1:47">
      <c r="A97" s="19" t="s">
        <v>120</v>
      </c>
      <c r="B97" s="19" t="s">
        <v>197</v>
      </c>
      <c r="C97" s="19" t="s">
        <v>202</v>
      </c>
      <c r="D97" s="19" t="s">
        <v>203</v>
      </c>
      <c r="E97" s="77"/>
      <c r="F97" s="71"/>
      <c r="S97" s="67" t="s">
        <v>124</v>
      </c>
      <c r="T97" s="67" t="s">
        <v>126</v>
      </c>
      <c r="U97" s="5" t="s">
        <v>125</v>
      </c>
      <c r="W97" s="5"/>
      <c r="X97" s="17"/>
      <c r="Y97" s="8"/>
      <c r="AC97" s="18"/>
      <c r="AD97" s="4" t="str">
        <f>HYPERLINK(CONCATENATE(TabelleURL!$B$1,"367/3674212-PDC.pdf"), "3674212-PDC")</f>
        <v>3674212-PDC</v>
      </c>
      <c r="AG97" s="2"/>
      <c r="AP97" s="2"/>
      <c r="AU97" s="10"/>
    </row>
    <row r="98" spans="1:47">
      <c r="A98" s="19" t="s">
        <v>204</v>
      </c>
      <c r="B98" s="19" t="s">
        <v>205</v>
      </c>
      <c r="C98" s="19"/>
      <c r="D98" s="19" t="s">
        <v>61</v>
      </c>
      <c r="E98" s="77"/>
      <c r="F98" s="71"/>
      <c r="G98" s="2" t="str">
        <f>HYPERLINK(CONCATENATE(TabelleURL!$B$1,"332_ADIF/332OP04.pdf"), "332OP04KA")</f>
        <v>332OP04KA</v>
      </c>
      <c r="I98" s="2" t="str">
        <f>HYPERLINK(CONCATENATE(TabelleURL!$B$1,"332_ADIF/332OP04ZI.pdf"), "332OP04/0/ZI")</f>
        <v>332OP04/0/ZI</v>
      </c>
      <c r="M98" s="5" t="str">
        <f>HYPERLINK(CONCATENATE(TabelleURL!$B$1,"345_Signalbox/3450256.pdf"), "3450256")</f>
        <v>3450256</v>
      </c>
      <c r="T98" s="63"/>
      <c r="U98" s="5"/>
      <c r="W98" s="5"/>
      <c r="X98" s="17"/>
      <c r="Y98" s="8"/>
      <c r="AC98" s="18"/>
      <c r="AH98" s="4" t="str">
        <f>HYPERLINK(CONCATENATE(TabelleURL!$B$1,"346_CAN2com/3475834.pdf"), "3475834")</f>
        <v>3475834</v>
      </c>
    </row>
    <row r="99" spans="1:47">
      <c r="A99" s="19" t="s">
        <v>204</v>
      </c>
      <c r="B99" s="19" t="s">
        <v>206</v>
      </c>
      <c r="C99" s="19"/>
      <c r="D99" s="19" t="s">
        <v>29</v>
      </c>
      <c r="E99" s="77"/>
      <c r="F99" s="71"/>
      <c r="G99" s="2" t="str">
        <f>HYPERLINK(CONCATENATE(TabelleURL!$B$1,"332_ADIF/332OP04.pdf"), "332OP04KA")</f>
        <v>332OP04KA</v>
      </c>
      <c r="I99" s="2" t="str">
        <f>HYPERLINK(CONCATENATE(TabelleURL!$B$1,"332_ADIF/332OP04ZI.pdf"), "332OP04/0/ZI")</f>
        <v>332OP04/0/ZI</v>
      </c>
      <c r="M99" s="5" t="str">
        <f>HYPERLINK(CONCATENATE(TabelleURL!$B$1,"345_Signalbox/3450256.pdf"), "3450256")</f>
        <v>3450256</v>
      </c>
      <c r="T99" s="63"/>
      <c r="U99" s="5"/>
      <c r="W99" s="5"/>
      <c r="X99" s="17"/>
      <c r="Y99" s="8"/>
      <c r="AC99" s="18"/>
      <c r="AH99" s="4" t="str">
        <f>HYPERLINK(CONCATENATE(TabelleURL!$B$1,"346_CAN2com/3475834.pdf"), "3475834")</f>
        <v>3475834</v>
      </c>
      <c r="AI99" s="5" t="str">
        <f>HYPERLINK(CONCATENATE(TabelleURL!$B$1,"3499_Taxi/34990084.pdf"), "34990084")</f>
        <v>34990084</v>
      </c>
    </row>
    <row r="100" spans="1:47">
      <c r="A100" s="19" t="s">
        <v>207</v>
      </c>
      <c r="B100" s="19" t="s">
        <v>208</v>
      </c>
      <c r="C100" s="19"/>
      <c r="D100" s="19"/>
      <c r="E100" s="77"/>
      <c r="F100" s="71"/>
      <c r="T100" s="63"/>
      <c r="U100" s="5"/>
      <c r="W100" s="5"/>
      <c r="X100" s="17"/>
      <c r="Y100" s="8"/>
      <c r="AC100" s="18"/>
    </row>
    <row r="101" spans="1:47">
      <c r="A101" s="19" t="s">
        <v>207</v>
      </c>
      <c r="B101" s="19" t="s">
        <v>209</v>
      </c>
      <c r="C101" s="19"/>
      <c r="D101" s="19" t="s">
        <v>210</v>
      </c>
      <c r="E101" s="77"/>
      <c r="F101" s="71"/>
      <c r="T101" s="63"/>
      <c r="U101" s="5"/>
      <c r="W101" s="5"/>
      <c r="X101" s="17"/>
      <c r="Y101" s="8"/>
      <c r="AC101" s="18"/>
    </row>
    <row r="102" spans="1:47">
      <c r="A102" s="19" t="s">
        <v>207</v>
      </c>
      <c r="B102" s="19" t="s">
        <v>209</v>
      </c>
      <c r="C102" s="19" t="s">
        <v>211</v>
      </c>
      <c r="D102" s="19" t="s">
        <v>86</v>
      </c>
      <c r="E102" s="77"/>
      <c r="F102" s="71"/>
      <c r="T102" s="63"/>
      <c r="U102" s="5"/>
      <c r="W102" s="5"/>
      <c r="X102" s="17"/>
      <c r="Y102" s="8"/>
      <c r="AC102" s="18"/>
    </row>
    <row r="103" spans="1:47">
      <c r="A103" s="19" t="s">
        <v>207</v>
      </c>
      <c r="B103" s="19" t="s">
        <v>212</v>
      </c>
      <c r="C103" s="19"/>
      <c r="D103" s="19" t="s">
        <v>213</v>
      </c>
      <c r="E103" s="77" t="s">
        <v>214</v>
      </c>
      <c r="F103" s="71"/>
      <c r="G103" s="2" t="str">
        <f>HYPERLINK(CONCATENATE(TabelleURL!$B$1,"332_ADIF/332OP04.pdf"), "332OP04KA")</f>
        <v>332OP04KA</v>
      </c>
      <c r="I103" s="2" t="str">
        <f>HYPERLINK(CONCATENATE(TabelleURL!$B$1,"332_ADIF/332OP04ZI.pdf"), "332OP04/0/ZI")</f>
        <v>332OP04/0/ZI</v>
      </c>
      <c r="M103" s="5" t="str">
        <f>HYPERLINK(CONCATENATE(TabelleURL!$B$1,"345_Signalbox/3450256.pdf"), "3450256")</f>
        <v>3450256</v>
      </c>
      <c r="T103" s="63"/>
      <c r="U103" s="5"/>
      <c r="W103" s="5"/>
      <c r="X103" s="17"/>
      <c r="Y103" s="8"/>
      <c r="AC103" s="18"/>
      <c r="AH103" s="4" t="str">
        <f>HYPERLINK(CONCATENATE(TabelleURL!$B$1,"346_CAN2com/3475834.pdf"), "3475834")</f>
        <v>3475834</v>
      </c>
      <c r="AI103" s="5" t="str">
        <f>HYPERLINK(CONCATENATE(TabelleURL!$B$1,"3499_Taxi/34990084.pdf"), "34990084")</f>
        <v>34990084</v>
      </c>
    </row>
    <row r="104" spans="1:47">
      <c r="A104" s="19" t="s">
        <v>207</v>
      </c>
      <c r="B104" s="19" t="s">
        <v>212</v>
      </c>
      <c r="C104" s="19"/>
      <c r="D104" s="19" t="s">
        <v>213</v>
      </c>
      <c r="E104" s="77" t="s">
        <v>215</v>
      </c>
      <c r="F104" s="71"/>
      <c r="G104" s="2" t="str">
        <f>HYPERLINK(CONCATENATE(TabelleURL!$B$1,"332_ADIF/332OP04.pdf"), "332OP04KA")</f>
        <v>332OP04KA</v>
      </c>
      <c r="I104" s="2" t="str">
        <f>HYPERLINK(CONCATENATE(TabelleURL!$B$1,"332_ADIF/332OP04ZI.pdf"), "332OP04/0/ZI")</f>
        <v>332OP04/0/ZI</v>
      </c>
      <c r="M104" s="5" t="str">
        <f>HYPERLINK(CONCATENATE(TabelleURL!$B$1,"345_Signalbox/3450256.pdf"), "3450256")</f>
        <v>3450256</v>
      </c>
      <c r="T104" s="63"/>
      <c r="U104" s="5"/>
      <c r="W104" s="5"/>
      <c r="X104" s="17"/>
      <c r="Y104" s="8"/>
      <c r="AC104" s="18"/>
      <c r="AH104" s="4" t="str">
        <f>HYPERLINK(CONCATENATE(TabelleURL!$B$1,"346_CAN2com/3475834.pdf"), "3475834")</f>
        <v>3475834</v>
      </c>
      <c r="AI104" s="5" t="str">
        <f>HYPERLINK(CONCATENATE(TabelleURL!$B$1,"3499_Taxi/34990084.pdf"), "34990084")</f>
        <v>34990084</v>
      </c>
    </row>
    <row r="105" spans="1:47">
      <c r="A105" s="19" t="s">
        <v>207</v>
      </c>
      <c r="B105" s="19" t="s">
        <v>216</v>
      </c>
      <c r="C105" s="19"/>
      <c r="D105" s="19" t="s">
        <v>217</v>
      </c>
      <c r="E105" s="77" t="s">
        <v>214</v>
      </c>
      <c r="F105" s="71"/>
      <c r="G105" s="2" t="str">
        <f>HYPERLINK(CONCATENATE(TabelleURL!$B$1,"332_ADIF/332OP04.pdf"), "332OP04KA")</f>
        <v>332OP04KA</v>
      </c>
      <c r="I105" s="2" t="str">
        <f>HYPERLINK(CONCATENATE(TabelleURL!$B$1,"332_ADIF/332OP04ZI.pdf"), "332OP04/0/ZI")</f>
        <v>332OP04/0/ZI</v>
      </c>
      <c r="M105" s="5" t="str">
        <f>HYPERLINK(CONCATENATE(TabelleURL!$B$1,"345_Signalbox/3450256.pdf"), "3450256")</f>
        <v>3450256</v>
      </c>
      <c r="T105" s="63"/>
      <c r="U105" s="5"/>
      <c r="W105" s="5"/>
      <c r="X105" s="17"/>
      <c r="Y105" s="8"/>
      <c r="AC105" s="18"/>
      <c r="AH105" s="4" t="str">
        <f>HYPERLINK(CONCATENATE(TabelleURL!$B$1,"346_CAN2com/3475834.pdf"), "3475834")</f>
        <v>3475834</v>
      </c>
      <c r="AI105" s="5" t="str">
        <f>HYPERLINK(CONCATENATE(TabelleURL!$B$1,"3499_Taxi/34990084.pdf"), "34990084")</f>
        <v>34990084</v>
      </c>
    </row>
    <row r="106" spans="1:47">
      <c r="A106" s="19" t="s">
        <v>207</v>
      </c>
      <c r="B106" s="19" t="s">
        <v>216</v>
      </c>
      <c r="C106" s="19"/>
      <c r="D106" s="19" t="s">
        <v>217</v>
      </c>
      <c r="E106" s="77" t="s">
        <v>215</v>
      </c>
      <c r="F106" s="71"/>
      <c r="G106" s="2" t="str">
        <f>HYPERLINK(CONCATENATE(TabelleURL!$B$1,"332_ADIF/332OP04.pdf"), "332OP04KA")</f>
        <v>332OP04KA</v>
      </c>
      <c r="I106" s="2" t="str">
        <f>HYPERLINK(CONCATENATE(TabelleURL!$B$1,"332_ADIF/332OP04ZI.pdf"), "332OP04/0/ZI")</f>
        <v>332OP04/0/ZI</v>
      </c>
      <c r="M106" s="5" t="str">
        <f>HYPERLINK(CONCATENATE(TabelleURL!$B$1,"345_Signalbox/3450256.pdf"), "3450256")</f>
        <v>3450256</v>
      </c>
      <c r="T106" s="63"/>
      <c r="U106" s="5"/>
      <c r="W106" s="5"/>
      <c r="X106" s="17"/>
      <c r="Y106" s="8"/>
      <c r="AC106" s="18"/>
      <c r="AH106" s="4" t="str">
        <f>HYPERLINK(CONCATENATE(TabelleURL!$B$1,"346_CAN2com/3475834.pdf"), "3475834")</f>
        <v>3475834</v>
      </c>
      <c r="AI106" s="5" t="str">
        <f>HYPERLINK(CONCATENATE(TabelleURL!$B$1,"3499_Taxi/34990084.pdf"), "34990084")</f>
        <v>34990084</v>
      </c>
    </row>
    <row r="107" spans="1:47">
      <c r="A107" s="19" t="s">
        <v>218</v>
      </c>
      <c r="B107" s="19">
        <v>300</v>
      </c>
      <c r="C107" s="19" t="s">
        <v>219</v>
      </c>
      <c r="D107" s="19" t="s">
        <v>82</v>
      </c>
      <c r="E107" s="77" t="s">
        <v>220</v>
      </c>
      <c r="F107" s="71"/>
      <c r="G107" s="2" t="str">
        <f>HYPERLINK(CONCATENATE(TabelleURL!$B$1,"332_ADIF/332GC01KA.pdf"), "332GC01KA")</f>
        <v>332GC01KA</v>
      </c>
      <c r="M107" s="5" t="str">
        <f>HYPERLINK(CONCATENATE(TabelleURL!$B$1,"345_Signalbox/3450291.pdf"), "3450291")</f>
        <v>3450291</v>
      </c>
      <c r="P107" s="5" t="str">
        <f>HYPERLINK(CONCATENATE(TabelleURL!$B$1,"345_Signalbox/3450291-W.pdf"), "3450291-W")</f>
        <v>3450291-W</v>
      </c>
      <c r="R107" s="66" t="s">
        <v>221</v>
      </c>
      <c r="S107" s="67" t="str">
        <f>HYPERLINK(CONCATENATE(TabelleURL!$B$1,"347_URI/3474780.pdf"), "B-3474780")</f>
        <v>B-3474780</v>
      </c>
      <c r="T107" s="63">
        <v>3474780</v>
      </c>
      <c r="U107" s="5" t="s">
        <v>222</v>
      </c>
      <c r="W107" s="5"/>
      <c r="X107" s="17"/>
      <c r="Y107" s="8"/>
      <c r="AC107" s="18"/>
      <c r="AF107" s="8" t="str">
        <f>HYPERLINK(CONCATENATE(TabelleURL!$B$1,"340_Helfer/3404700.pdf"), "B-3404700")</f>
        <v>B-3404700</v>
      </c>
      <c r="AI107" s="5" t="str">
        <f>HYPERLINK(CONCATENATE(TabelleURL!$B$1,"3499_Taxi/34990061.pdf"), "34990061")</f>
        <v>34990061</v>
      </c>
      <c r="AL107" s="3" t="s">
        <v>7</v>
      </c>
    </row>
    <row r="108" spans="1:47">
      <c r="A108" s="19" t="s">
        <v>218</v>
      </c>
      <c r="B108" s="19">
        <v>300</v>
      </c>
      <c r="C108" s="19" t="s">
        <v>219</v>
      </c>
      <c r="D108" s="19" t="s">
        <v>82</v>
      </c>
      <c r="E108" s="77" t="s">
        <v>223</v>
      </c>
      <c r="F108" s="71"/>
      <c r="G108" s="2" t="str">
        <f>HYPERLINK(CONCATENATE(TabelleURL!$B$1,"332_ADIF/332GC01KA.pdf"), "332GC01KA")</f>
        <v>332GC01KA</v>
      </c>
      <c r="M108" s="5" t="str">
        <f>HYPERLINK(CONCATENATE(TabelleURL!$B$1,"345_Signalbox/3450291.pdf"), "3450291")</f>
        <v>3450291</v>
      </c>
      <c r="P108" s="5" t="str">
        <f>HYPERLINK(CONCATENATE(TabelleURL!$B$1,"345_Signalbox/3450291-W.pdf"), "3450291-W")</f>
        <v>3450291-W</v>
      </c>
      <c r="R108" s="66" t="s">
        <v>221</v>
      </c>
      <c r="S108" s="67" t="str">
        <f>HYPERLINK(CONCATENATE(TabelleURL!$B$1,"347_URI/3474780.pdf"), "B-3474781")</f>
        <v>B-3474781</v>
      </c>
      <c r="T108" s="63">
        <v>3474780</v>
      </c>
      <c r="U108" s="5" t="s">
        <v>224</v>
      </c>
      <c r="W108" s="5"/>
      <c r="X108" s="17"/>
      <c r="Y108" s="8"/>
      <c r="AC108" s="18"/>
      <c r="AF108" s="8" t="str">
        <f>HYPERLINK(CONCATENATE(TabelleURL!$B$1,"340_Helfer/3404700.pdf"), "B-3404700")</f>
        <v>B-3404700</v>
      </c>
      <c r="AI108" s="5" t="str">
        <f>HYPERLINK(CONCATENATE(TabelleURL!$B$1,"3499_Taxi/34990061.pdf"), "34990061")</f>
        <v>34990061</v>
      </c>
      <c r="AL108" s="3" t="s">
        <v>7</v>
      </c>
    </row>
    <row r="109" spans="1:47">
      <c r="A109" s="19" t="s">
        <v>218</v>
      </c>
      <c r="B109" s="19">
        <v>300</v>
      </c>
      <c r="C109" s="19" t="s">
        <v>225</v>
      </c>
      <c r="D109" s="19" t="s">
        <v>86</v>
      </c>
      <c r="E109" s="77"/>
      <c r="F109" s="71"/>
      <c r="G109" s="2" t="str">
        <f>HYPERLINK(CONCATENATE(TabelleURL!$B$1,"342_ADIF/342FI02.pdf"), "342FI02/0, 342FI02/0/KA")</f>
        <v>342FI02/0, 342FI02/0/KA</v>
      </c>
      <c r="T109" s="63"/>
      <c r="U109" s="5"/>
      <c r="W109" s="5"/>
      <c r="X109" s="17"/>
      <c r="Y109" s="8"/>
      <c r="AC109" s="18"/>
      <c r="AI109" s="5" t="str">
        <f>HYPERLINK(CONCATENATE(TabelleURL!$B$1,"3499_Taxi/34990081.pdf"), "34990081")</f>
        <v>34990081</v>
      </c>
    </row>
    <row r="110" spans="1:47">
      <c r="A110" s="19" t="s">
        <v>218</v>
      </c>
      <c r="B110" s="19" t="s">
        <v>226</v>
      </c>
      <c r="C110" s="19" t="s">
        <v>227</v>
      </c>
      <c r="D110" s="19" t="s">
        <v>29</v>
      </c>
      <c r="E110" s="77"/>
      <c r="F110" s="71"/>
      <c r="G110" s="2" t="str">
        <f>HYPERLINK(CONCATENATE(TabelleURL!$B$1,"332_ADIF/332GC01KA.pdf"), "332GC01KA")</f>
        <v>332GC01KA</v>
      </c>
      <c r="M110" s="5" t="str">
        <f>HYPERLINK(CONCATENATE(TabelleURL!$B$1,"345_Signalbox/3450291.pdf"), "3450291")</f>
        <v>3450291</v>
      </c>
      <c r="P110" s="5" t="str">
        <f>HYPERLINK(CONCATENATE(TabelleURL!$B$1,"345_Signalbox/3450291-W.pdf"), "3450291-W")</f>
        <v>3450291-W</v>
      </c>
      <c r="R110" s="66" t="s">
        <v>221</v>
      </c>
      <c r="S110" s="67" t="str">
        <f>HYPERLINK(CONCATENATE(TabelleURL!$B$1,"347_URI/3474782.pdf"), "B-3474782")</f>
        <v>B-3474782</v>
      </c>
      <c r="T110" s="63">
        <v>3474780</v>
      </c>
      <c r="U110" s="5" t="s">
        <v>224</v>
      </c>
      <c r="W110" s="5"/>
      <c r="X110" s="17"/>
      <c r="Y110" s="8"/>
      <c r="AC110" s="18"/>
    </row>
    <row r="111" spans="1:47">
      <c r="A111" s="19" t="s">
        <v>218</v>
      </c>
      <c r="B111" s="19" t="s">
        <v>228</v>
      </c>
      <c r="C111" s="19"/>
      <c r="D111" s="19" t="s">
        <v>8</v>
      </c>
      <c r="E111" s="77"/>
      <c r="F111" s="71"/>
      <c r="G111" s="2" t="str">
        <f>HYPERLINK(CONCATENATE(TabelleURL!$B$1,"332_ADIF/332GC01KA.pdf"), "332GC01KA")</f>
        <v>332GC01KA</v>
      </c>
      <c r="M111" s="5" t="str">
        <f>HYPERLINK(CONCATENATE(TabelleURL!$B$1,"345_Signalbox/3450291.pdf"), "3450291")</f>
        <v>3450291</v>
      </c>
      <c r="P111" s="5" t="str">
        <f>HYPERLINK(CONCATENATE(TabelleURL!$B$1,"345_Signalbox/3450291-W.pdf"), "3450291-W")</f>
        <v>3450291-W</v>
      </c>
      <c r="T111" s="63"/>
      <c r="U111" s="5"/>
      <c r="W111" s="5"/>
      <c r="X111" s="17"/>
      <c r="Y111" s="8"/>
      <c r="AC111" s="18"/>
      <c r="AF111" s="8" t="str">
        <f>HYPERLINK(CONCATENATE(TabelleURL!$B$1,"340_Helfer/3404700.pdf"), "B-3404700")</f>
        <v>B-3404700</v>
      </c>
      <c r="AL111" s="3" t="s">
        <v>7</v>
      </c>
    </row>
    <row r="112" spans="1:47">
      <c r="A112" s="19" t="s">
        <v>218</v>
      </c>
      <c r="B112" s="19" t="s">
        <v>229</v>
      </c>
      <c r="C112" s="19" t="s">
        <v>230</v>
      </c>
      <c r="D112" s="19" t="s">
        <v>231</v>
      </c>
      <c r="E112" s="77" t="s">
        <v>220</v>
      </c>
      <c r="F112" s="71"/>
      <c r="G112" s="2" t="str">
        <f>HYPERLINK(CONCATENATE(TabelleURL!$B$1,"332_ADIF/332GC01KA.pdf"), "332GC01KA")</f>
        <v>332GC01KA</v>
      </c>
      <c r="R112" s="66" t="s">
        <v>221</v>
      </c>
      <c r="S112" s="67" t="str">
        <f>HYPERLINK(CONCATENATE(TabelleURL!$B$1,"347_URI/3474780.pdf"), "B-3474780")</f>
        <v>B-3474780</v>
      </c>
      <c r="T112" s="63">
        <v>3474780</v>
      </c>
      <c r="U112" s="5" t="s">
        <v>222</v>
      </c>
      <c r="W112" s="5"/>
      <c r="X112" s="17"/>
      <c r="Y112" s="8"/>
      <c r="AC112" s="18"/>
      <c r="AF112" s="8" t="str">
        <f>HYPERLINK(CONCATENATE(TabelleURL!$B$1,"340_Helfer/3404700.pdf"), "B-3404700")</f>
        <v>B-3404700</v>
      </c>
      <c r="AL112" s="3" t="s">
        <v>7</v>
      </c>
    </row>
    <row r="113" spans="1:47">
      <c r="A113" s="19" t="s">
        <v>218</v>
      </c>
      <c r="B113" s="19" t="s">
        <v>229</v>
      </c>
      <c r="C113" s="19" t="s">
        <v>230</v>
      </c>
      <c r="D113" s="19" t="s">
        <v>231</v>
      </c>
      <c r="E113" s="77" t="s">
        <v>223</v>
      </c>
      <c r="F113" s="71"/>
      <c r="G113" s="2" t="str">
        <f>HYPERLINK(CONCATENATE(TabelleURL!$B$1,"332_ADIF/332GC01KA.pdf"), "332GC01KA")</f>
        <v>332GC01KA</v>
      </c>
      <c r="R113" s="66" t="s">
        <v>221</v>
      </c>
      <c r="S113" s="67" t="str">
        <f>HYPERLINK(CONCATENATE(TabelleURL!$B$1,"347_URI/3474780.pdf"), "B-3474781")</f>
        <v>B-3474781</v>
      </c>
      <c r="T113" s="63">
        <v>3474780</v>
      </c>
      <c r="U113" s="5" t="s">
        <v>224</v>
      </c>
      <c r="W113" s="5"/>
      <c r="X113" s="17"/>
      <c r="Y113" s="8"/>
      <c r="AC113" s="18"/>
      <c r="AF113" s="8" t="str">
        <f>HYPERLINK(CONCATENATE(TabelleURL!$B$1,"340_Helfer/3404700.pdf"), "B-3404700")</f>
        <v>B-3404700</v>
      </c>
      <c r="AL113" s="3" t="s">
        <v>7</v>
      </c>
    </row>
    <row r="114" spans="1:47">
      <c r="A114" s="19" t="s">
        <v>232</v>
      </c>
      <c r="B114" s="19" t="s">
        <v>233</v>
      </c>
      <c r="C114" s="19" t="s">
        <v>219</v>
      </c>
      <c r="D114" s="19" t="s">
        <v>234</v>
      </c>
      <c r="E114" s="77"/>
      <c r="F114" s="71" t="s">
        <v>235</v>
      </c>
      <c r="T114" s="63"/>
      <c r="U114" s="5"/>
      <c r="W114" s="5"/>
      <c r="X114" s="17"/>
      <c r="Y114" s="8"/>
      <c r="AC114" s="18"/>
    </row>
    <row r="115" spans="1:47">
      <c r="A115" s="19" t="s">
        <v>232</v>
      </c>
      <c r="B115" s="19" t="s">
        <v>233</v>
      </c>
      <c r="C115" s="19" t="s">
        <v>236</v>
      </c>
      <c r="D115" s="19" t="s">
        <v>29</v>
      </c>
      <c r="E115" s="77" t="s">
        <v>237</v>
      </c>
      <c r="F115" s="71"/>
      <c r="G115" s="2" t="str">
        <f>HYPERLINK(CONCATENATE(TabelleURL!$B$1,"332_ADIF/332CI05.pdf"), "322CI05KA")</f>
        <v>322CI05KA</v>
      </c>
      <c r="H115" s="2" t="s">
        <v>238</v>
      </c>
      <c r="M115" s="5" t="str">
        <f>HYPERLINK(CONCATENATE(TabelleURL!$B$1,"345_Signalbox/3450264.pdf"), "3450264")</f>
        <v>3450264</v>
      </c>
      <c r="R115" s="66" t="s">
        <v>11</v>
      </c>
      <c r="S115" s="67" t="s">
        <v>239</v>
      </c>
      <c r="T115" s="63">
        <v>3470006</v>
      </c>
      <c r="U115" s="5" t="s">
        <v>240</v>
      </c>
      <c r="V115" s="4" t="s">
        <v>239</v>
      </c>
      <c r="W115" s="5"/>
      <c r="X115" s="17" t="s">
        <v>11</v>
      </c>
      <c r="Y115" s="8" t="s">
        <v>241</v>
      </c>
      <c r="AC115" s="18" t="s">
        <v>11</v>
      </c>
      <c r="AD115" s="4" t="str">
        <f>HYPERLINK(CONCATENATE(TabelleURL!$B$1,"367/3674212-PDC.pdf"), "3674212-PDC")</f>
        <v>3674212-PDC</v>
      </c>
      <c r="AF115" s="8" t="str">
        <f>HYPERLINK(CONCATENATE(TabelleURL!$B$1,"340_Helfer/3404700.pdf"), "B-3404700")</f>
        <v>B-3404700</v>
      </c>
      <c r="AG115" s="2" t="str">
        <f>HYPERLINK(CONCATENATE(TabelleURL!$B$1,"340_Helfer/3404701.pdf"), "3404701")</f>
        <v>3404701</v>
      </c>
      <c r="AI115" s="5" t="str">
        <f>HYPERLINK(CONCATENATE(TabelleURL!$B$1,"3499_Taxi/34990023.pdf"), "34990023")</f>
        <v>34990023</v>
      </c>
      <c r="AL115" s="3" t="s">
        <v>7</v>
      </c>
      <c r="AP115" s="2" t="str">
        <f>HYPERLINK(CONCATENATE(TabelleURL!$B$1,"367/3674700.pdf"), "3674700")</f>
        <v>3674700</v>
      </c>
      <c r="AU115" s="10"/>
    </row>
    <row r="116" spans="1:47">
      <c r="A116" s="19" t="s">
        <v>232</v>
      </c>
      <c r="B116" s="19" t="s">
        <v>233</v>
      </c>
      <c r="C116" s="19" t="s">
        <v>236</v>
      </c>
      <c r="D116" s="19" t="s">
        <v>242</v>
      </c>
      <c r="E116" s="77" t="s">
        <v>243</v>
      </c>
      <c r="F116" s="71"/>
      <c r="G116" s="2" t="str">
        <f>HYPERLINK(CONCATENATE(TabelleURL!$B$1,"342_ADIF/342CI01.pdf"), "342CI01/0/KA")</f>
        <v>342CI01/0/KA</v>
      </c>
      <c r="T116" s="63"/>
      <c r="U116" s="5"/>
      <c r="W116" s="5"/>
      <c r="X116" s="17" t="s">
        <v>11</v>
      </c>
      <c r="Y116" s="8" t="s">
        <v>241</v>
      </c>
      <c r="AC116" s="18" t="s">
        <v>11</v>
      </c>
      <c r="AD116" s="4" t="str">
        <f>HYPERLINK(CONCATENATE(TabelleURL!$B$1,"367/3674212-PDC.pdf"), "3674212-PDC")</f>
        <v>3674212-PDC</v>
      </c>
      <c r="AF116" s="8" t="str">
        <f>HYPERLINK(CONCATENATE(TabelleURL!$B$1,"340_Helfer/3404700.pdf"), "B-3404700")</f>
        <v>B-3404700</v>
      </c>
      <c r="AG116" s="2" t="str">
        <f>HYPERLINK(CONCATENATE(TabelleURL!$B$1,"340_Helfer/3404701.pdf"), "3404701")</f>
        <v>3404701</v>
      </c>
      <c r="AI116" s="5" t="str">
        <f>HYPERLINK(CONCATENATE(TabelleURL!$B$1,"3499_Taxi/34990023.pdf"), "34990023")</f>
        <v>34990023</v>
      </c>
      <c r="AL116" s="3" t="s">
        <v>7</v>
      </c>
      <c r="AP116" s="2" t="str">
        <f>HYPERLINK(CONCATENATE(TabelleURL!$B$1,"367/3674700.pdf"), "3674700")</f>
        <v>3674700</v>
      </c>
      <c r="AU116" s="10"/>
    </row>
    <row r="117" spans="1:47">
      <c r="A117" s="19" t="s">
        <v>232</v>
      </c>
      <c r="B117" s="19" t="s">
        <v>233</v>
      </c>
      <c r="C117" s="19" t="s">
        <v>244</v>
      </c>
      <c r="D117" s="19" t="s">
        <v>245</v>
      </c>
      <c r="E117" s="77"/>
      <c r="F117" s="71"/>
      <c r="G117" s="2" t="str">
        <f>HYPERLINK(CONCATENATE(TabelleURL!$B$1,"342_ADIF/342CI01.pdf"), "342CI01/0/KA")</f>
        <v>342CI01/0/KA</v>
      </c>
      <c r="T117" s="63"/>
      <c r="U117" s="5"/>
      <c r="W117" s="5"/>
      <c r="X117" s="17"/>
      <c r="Y117" s="8"/>
      <c r="AC117" s="18"/>
      <c r="AF117" s="8" t="str">
        <f>HYPERLINK(CONCATENATE(TabelleURL!$B$1,"340_Helfer/3404700.pdf"), "B-3404700")</f>
        <v>B-3404700</v>
      </c>
      <c r="AI117" s="5" t="str">
        <f>HYPERLINK(CONCATENATE(TabelleURL!$B$1,"3499_Taxi/34990023.pdf"), "34990023")</f>
        <v>34990023</v>
      </c>
      <c r="AU117" s="10"/>
    </row>
    <row r="118" spans="1:47">
      <c r="A118" s="19" t="s">
        <v>232</v>
      </c>
      <c r="B118" s="19" t="s">
        <v>233</v>
      </c>
      <c r="C118" s="19" t="s">
        <v>246</v>
      </c>
      <c r="D118" s="19" t="s">
        <v>73</v>
      </c>
      <c r="E118" s="77"/>
      <c r="F118" s="71"/>
      <c r="G118" s="2" t="str">
        <f>HYPERLINK(CONCATENATE(TabelleURL!$B$1,"342_ADIF/342CI01.pdf"), "342CI01/0/KA")</f>
        <v>342CI01/0/KA</v>
      </c>
      <c r="T118" s="63"/>
      <c r="U118" s="5"/>
      <c r="W118" s="5"/>
      <c r="X118" s="17"/>
      <c r="Y118" s="8"/>
      <c r="AC118" s="18"/>
      <c r="AF118" s="8" t="str">
        <f>HYPERLINK(CONCATENATE(TabelleURL!$B$1,"340_Helfer/3404700.pdf"), "B-3404700")</f>
        <v>B-3404700</v>
      </c>
      <c r="AI118" s="5" t="str">
        <f>HYPERLINK(CONCATENATE(TabelleURL!$B$1,"3499_Taxi/34990023.pdf"), "34990023")</f>
        <v>34990023</v>
      </c>
      <c r="AU118" s="10"/>
    </row>
    <row r="119" spans="1:47">
      <c r="A119" s="19" t="s">
        <v>232</v>
      </c>
      <c r="B119" s="19" t="s">
        <v>247</v>
      </c>
      <c r="C119" s="19" t="s">
        <v>248</v>
      </c>
      <c r="D119" s="19" t="s">
        <v>97</v>
      </c>
      <c r="E119" s="77"/>
      <c r="F119" s="71"/>
      <c r="G119" s="2" t="str">
        <f>HYPERLINK(CONCATENATE(TabelleURL!$B$1,"332_ADIF/332CI02.pdf"), "332CI02KA")</f>
        <v>332CI02KA</v>
      </c>
      <c r="M119" s="5" t="str">
        <f>HYPERLINK(CONCATENATE(TabelleURL!$B$1,"345_Signalbox/3450257.pdf"), "3450257")</f>
        <v>3450257</v>
      </c>
      <c r="R119" s="66" t="s">
        <v>11</v>
      </c>
      <c r="S119" s="67" t="str">
        <f>HYPERLINK(CONCATENATE(TabelleURL!$B$1,"347_URI/3474761.pdf"), "B-3474761")</f>
        <v>B-3474761</v>
      </c>
      <c r="T119" s="63">
        <v>3474761</v>
      </c>
      <c r="U119" s="5" t="s">
        <v>12</v>
      </c>
      <c r="W119" s="5"/>
      <c r="X119" s="17"/>
      <c r="Y119" s="8"/>
      <c r="AC119" s="18"/>
      <c r="AF119" s="8" t="str">
        <f>HYPERLINK(CONCATENATE(TabelleURL!$B$1,"340_Helfer/3404700.pdf"), "B-3404700")</f>
        <v>B-3404700</v>
      </c>
      <c r="AG119" s="2" t="str">
        <f>HYPERLINK(CONCATENATE(TabelleURL!$B$1,"340_Helfer/3404701.pdf"), "3404701")</f>
        <v>3404701</v>
      </c>
      <c r="AH119" s="4" t="str">
        <f>HYPERLINK(CONCATENATE(TabelleURL!$B$1,"346_CAN2com/3475864.pdf"), "3475864")</f>
        <v>3475864</v>
      </c>
      <c r="AI119" s="5" t="str">
        <f>HYPERLINK(CONCATENATE(TabelleURL!$B$1,"3499_Taxi/34990021.pdf"), "34990021")</f>
        <v>34990021</v>
      </c>
      <c r="AL119" s="3" t="s">
        <v>7</v>
      </c>
      <c r="AP119" s="2" t="str">
        <f>HYPERLINK(CONCATENATE(TabelleURL!$B$1,"367/3674700.pdf"), "3674700")</f>
        <v>3674700</v>
      </c>
      <c r="AU119" s="10"/>
    </row>
    <row r="120" spans="1:47">
      <c r="A120" s="19" t="s">
        <v>232</v>
      </c>
      <c r="B120" s="19" t="s">
        <v>247</v>
      </c>
      <c r="C120" s="19" t="s">
        <v>249</v>
      </c>
      <c r="D120" s="19" t="s">
        <v>116</v>
      </c>
      <c r="E120" s="77"/>
      <c r="F120" s="71"/>
      <c r="G120" s="2" t="str">
        <f>HYPERLINK(CONCATENATE(TabelleURL!$B$1,"332_ADIF/332CI02.pdf"), "332CI02KA")</f>
        <v>332CI02KA</v>
      </c>
      <c r="M120" s="5" t="str">
        <f>HYPERLINK(CONCATENATE(TabelleURL!$B$1,"345_Signalbox/3450257.pdf"), "3450257")</f>
        <v>3450257</v>
      </c>
      <c r="R120" s="66" t="s">
        <v>11</v>
      </c>
      <c r="S120" s="67" t="str">
        <f>HYPERLINK(CONCATENATE(TabelleURL!$B$1,"347_URI/3474761.pdf"), "B-3474761")</f>
        <v>B-3474761</v>
      </c>
      <c r="T120" s="63">
        <v>3474761</v>
      </c>
      <c r="U120" s="5" t="s">
        <v>12</v>
      </c>
      <c r="W120" s="5"/>
      <c r="X120" s="17"/>
      <c r="Y120" s="8"/>
      <c r="AC120" s="18"/>
      <c r="AF120" s="8" t="str">
        <f>HYPERLINK(CONCATENATE(TabelleURL!$B$1,"340_Helfer/3404700.pdf"), "B-3404700")</f>
        <v>B-3404700</v>
      </c>
      <c r="AG120" s="2" t="str">
        <f>HYPERLINK(CONCATENATE(TabelleURL!$B$1,"340_Helfer/3404701.pdf"), "3404701")</f>
        <v>3404701</v>
      </c>
      <c r="AH120" s="4" t="str">
        <f>HYPERLINK(CONCATENATE(TabelleURL!$B$1,"346_CAN2com/3475864.pdf"), "3475864")</f>
        <v>3475864</v>
      </c>
      <c r="AI120" s="5" t="str">
        <f>HYPERLINK(CONCATENATE(TabelleURL!$B$1,"3499_Taxi/34990021.pdf"), "34990021")</f>
        <v>34990021</v>
      </c>
      <c r="AL120" s="3" t="s">
        <v>7</v>
      </c>
      <c r="AP120" s="2" t="str">
        <f>HYPERLINK(CONCATENATE(TabelleURL!$B$1,"367/3674700.pdf"), "3674700")</f>
        <v>3674700</v>
      </c>
      <c r="AU120" s="10"/>
    </row>
    <row r="121" spans="1:47">
      <c r="A121" s="19" t="s">
        <v>232</v>
      </c>
      <c r="B121" s="19" t="s">
        <v>250</v>
      </c>
      <c r="C121" s="19"/>
      <c r="D121" s="19" t="s">
        <v>251</v>
      </c>
      <c r="E121" s="77"/>
      <c r="F121" s="71"/>
      <c r="G121" s="2" t="str">
        <f>HYPERLINK(CONCATENATE(TabelleURL!$B$1,"342_ADIF/342MI02.pdf"), "342MI02/0")</f>
        <v>342MI02/0</v>
      </c>
      <c r="M121" s="5" t="str">
        <f>HYPERLINK(CONCATENATE(TabelleURL!$B$1,"345_Signalbox/3450260.pdf"), "3450260")</f>
        <v>3450260</v>
      </c>
      <c r="T121" s="63"/>
      <c r="U121" s="5"/>
      <c r="W121" s="5"/>
      <c r="X121" s="17"/>
      <c r="Y121" s="8"/>
      <c r="AC121" s="18"/>
      <c r="AU121" s="10"/>
    </row>
    <row r="122" spans="1:47">
      <c r="A122" s="19" t="s">
        <v>232</v>
      </c>
      <c r="B122" s="19" t="s">
        <v>252</v>
      </c>
      <c r="C122" s="19"/>
      <c r="D122" s="19" t="s">
        <v>253</v>
      </c>
      <c r="E122" s="77"/>
      <c r="F122" s="71"/>
      <c r="T122" s="63"/>
      <c r="U122" s="5"/>
      <c r="W122" s="5"/>
      <c r="X122" s="17"/>
      <c r="Y122" s="8"/>
      <c r="AB122" s="2" t="s">
        <v>55</v>
      </c>
      <c r="AC122" s="18"/>
      <c r="AU122" s="10"/>
    </row>
    <row r="123" spans="1:47">
      <c r="A123" s="19" t="s">
        <v>232</v>
      </c>
      <c r="B123" s="19" t="s">
        <v>252</v>
      </c>
      <c r="C123" s="19" t="s">
        <v>225</v>
      </c>
      <c r="D123" s="19" t="s">
        <v>116</v>
      </c>
      <c r="E123" s="77"/>
      <c r="F123" s="71"/>
      <c r="T123" s="63"/>
      <c r="U123" s="5"/>
      <c r="W123" s="5"/>
      <c r="X123" s="17"/>
      <c r="Y123" s="8"/>
      <c r="AC123" s="18"/>
      <c r="AU123" s="10"/>
    </row>
    <row r="124" spans="1:47">
      <c r="A124" s="19" t="s">
        <v>232</v>
      </c>
      <c r="B124" s="19" t="s">
        <v>254</v>
      </c>
      <c r="C124" s="19"/>
      <c r="D124" s="19" t="s">
        <v>255</v>
      </c>
      <c r="E124" s="77" t="s">
        <v>237</v>
      </c>
      <c r="F124" s="71"/>
      <c r="R124" s="66" t="s">
        <v>11</v>
      </c>
      <c r="S124" s="67" t="s">
        <v>239</v>
      </c>
      <c r="T124" s="63">
        <v>3470006</v>
      </c>
      <c r="U124" s="5" t="s">
        <v>240</v>
      </c>
      <c r="V124" s="4" t="s">
        <v>239</v>
      </c>
      <c r="W124" s="5"/>
      <c r="X124" s="17" t="s">
        <v>11</v>
      </c>
      <c r="Y124" s="8" t="s">
        <v>241</v>
      </c>
      <c r="AC124" s="18" t="s">
        <v>11</v>
      </c>
      <c r="AD124" s="4" t="str">
        <f>HYPERLINK(CONCATENATE(TabelleURL!$B$1,"367/3674212-PDC.pdf"), "3674212-PDC")</f>
        <v>3674212-PDC</v>
      </c>
      <c r="AU124" s="10"/>
    </row>
    <row r="125" spans="1:47">
      <c r="A125" s="19" t="s">
        <v>232</v>
      </c>
      <c r="B125" s="19" t="s">
        <v>256</v>
      </c>
      <c r="C125" s="19" t="s">
        <v>225</v>
      </c>
      <c r="D125" s="19" t="s">
        <v>257</v>
      </c>
      <c r="E125" s="77"/>
      <c r="F125" s="71"/>
      <c r="G125" s="2" t="str">
        <f>HYPERLINK(CONCATENATE(TabelleURL!$B$1,"332_ADIF/332CI05.pdf"), "332CI05KA")</f>
        <v>332CI05KA</v>
      </c>
      <c r="H125" s="2" t="s">
        <v>238</v>
      </c>
      <c r="R125" s="66" t="s">
        <v>11</v>
      </c>
      <c r="S125" s="67" t="s">
        <v>239</v>
      </c>
      <c r="T125" s="63">
        <v>3470006</v>
      </c>
      <c r="U125" s="5" t="s">
        <v>240</v>
      </c>
      <c r="V125" s="4" t="s">
        <v>239</v>
      </c>
      <c r="W125" s="5"/>
      <c r="X125" s="17" t="s">
        <v>11</v>
      </c>
      <c r="Y125" s="8" t="s">
        <v>241</v>
      </c>
      <c r="AB125" s="2" t="s">
        <v>55</v>
      </c>
      <c r="AC125" s="18" t="s">
        <v>11</v>
      </c>
      <c r="AD125" s="4" t="str">
        <f>HYPERLINK(CONCATENATE(TabelleURL!$B$1,"367/3674212-PDC.pdf"), "3674212-PDC")</f>
        <v>3674212-PDC</v>
      </c>
      <c r="AF125" s="8" t="str">
        <f>HYPERLINK(CONCATENATE(TabelleURL!$B$1,"340_Helfer/3404700.pdf"), "B-3404700")</f>
        <v>B-3404700</v>
      </c>
      <c r="AG125" s="2" t="str">
        <f>HYPERLINK(CONCATENATE(TabelleURL!$B$1,"340_Helfer/3404701.pdf"), "3404701")</f>
        <v>3404701</v>
      </c>
      <c r="AI125" s="5" t="str">
        <f>HYPERLINK(CONCATENATE(TabelleURL!$B$1,"3499_Taxi/34990023.pdf"), "34990023")</f>
        <v>34990023</v>
      </c>
      <c r="AL125" s="3" t="s">
        <v>7</v>
      </c>
      <c r="AP125" s="2" t="str">
        <f>HYPERLINK(CONCATENATE(TabelleURL!$B$1,"367/3674700.pdf"), "3674700")</f>
        <v>3674700</v>
      </c>
      <c r="AU125" s="10"/>
    </row>
    <row r="126" spans="1:47">
      <c r="A126" s="19" t="s">
        <v>232</v>
      </c>
      <c r="B126" s="19" t="s">
        <v>256</v>
      </c>
      <c r="C126" s="19" t="s">
        <v>258</v>
      </c>
      <c r="D126" s="19" t="s">
        <v>104</v>
      </c>
      <c r="E126" s="77"/>
      <c r="F126" s="71"/>
      <c r="T126" s="63"/>
      <c r="U126" s="5"/>
      <c r="W126" s="5"/>
      <c r="X126" s="17"/>
      <c r="Y126" s="8"/>
      <c r="AC126" s="18"/>
      <c r="AD126" s="4"/>
      <c r="AG126" s="2"/>
      <c r="AP126" s="2"/>
      <c r="AU126" s="10"/>
    </row>
    <row r="127" spans="1:47">
      <c r="A127" s="19" t="s">
        <v>232</v>
      </c>
      <c r="B127" s="19" t="s">
        <v>256</v>
      </c>
      <c r="C127" s="19" t="s">
        <v>259</v>
      </c>
      <c r="D127" s="19" t="s">
        <v>260</v>
      </c>
      <c r="E127" s="77"/>
      <c r="F127" s="71"/>
      <c r="G127" s="2" t="str">
        <f>HYPERLINK(CONCATENATE(TabelleURL!$B$1,"332_ADIF/332CI05.pdf"), "332CI05KA")</f>
        <v>332CI05KA</v>
      </c>
      <c r="H127" s="2" t="s">
        <v>238</v>
      </c>
      <c r="M127" s="5" t="str">
        <f>HYPERLINK(CONCATENATE(TabelleURL!$B$1,"345_Signalbox/3450264.pdf"), "3450264")</f>
        <v>3450264</v>
      </c>
      <c r="R127" s="66" t="s">
        <v>11</v>
      </c>
      <c r="S127" s="67" t="s">
        <v>239</v>
      </c>
      <c r="T127" s="63"/>
      <c r="U127" s="5"/>
      <c r="V127" s="4" t="s">
        <v>239</v>
      </c>
      <c r="W127" s="5"/>
      <c r="X127" s="17"/>
      <c r="Y127" s="8"/>
      <c r="AC127" s="18"/>
      <c r="AF127" s="8" t="str">
        <f>HYPERLINK(CONCATENATE(TabelleURL!$B$1,"340_Helfer/3404700.pdf"), "B-3404700")</f>
        <v>B-3404700</v>
      </c>
      <c r="AG127" s="2" t="str">
        <f>HYPERLINK(CONCATENATE(TabelleURL!$B$1,"340_Helfer/3404701.pdf"), "3404701")</f>
        <v>3404701</v>
      </c>
      <c r="AI127" s="5" t="str">
        <f>HYPERLINK(CONCATENATE(TabelleURL!$B$1,"3499_Taxi/34990023.pdf"), "34990023")</f>
        <v>34990023</v>
      </c>
      <c r="AL127" s="3" t="s">
        <v>7</v>
      </c>
      <c r="AP127" s="2" t="str">
        <f>HYPERLINK(CONCATENATE(TabelleURL!$B$1,"367/3674700.pdf"), "3674700")</f>
        <v>3674700</v>
      </c>
      <c r="AU127" s="10"/>
    </row>
    <row r="128" spans="1:47">
      <c r="A128" s="19" t="s">
        <v>232</v>
      </c>
      <c r="B128" s="19" t="s">
        <v>256</v>
      </c>
      <c r="C128" s="19" t="s">
        <v>259</v>
      </c>
      <c r="D128" s="19" t="s">
        <v>19</v>
      </c>
      <c r="E128" s="77"/>
      <c r="F128" s="71"/>
      <c r="T128" s="63"/>
      <c r="U128" s="5"/>
      <c r="W128" s="5"/>
      <c r="X128" s="17"/>
      <c r="Y128" s="8"/>
      <c r="AC128" s="18"/>
      <c r="AG128" s="2"/>
      <c r="AP128" s="2"/>
      <c r="AU128" s="10"/>
    </row>
    <row r="129" spans="1:47">
      <c r="A129" s="19" t="s">
        <v>232</v>
      </c>
      <c r="B129" s="19" t="s">
        <v>261</v>
      </c>
      <c r="C129" s="19" t="s">
        <v>262</v>
      </c>
      <c r="D129" s="19" t="s">
        <v>23</v>
      </c>
      <c r="E129" s="77"/>
      <c r="F129" s="71"/>
      <c r="G129" s="2" t="str">
        <f>HYPERLINK(CONCATENATE(TabelleURL!$B$1,"332_ADIF/332CI05.pdf"), "332CI05KA")</f>
        <v>332CI05KA</v>
      </c>
      <c r="H129" s="2" t="s">
        <v>238</v>
      </c>
      <c r="M129" s="5" t="str">
        <f>HYPERLINK(CONCATENATE(TabelleURL!$B$1,"345_Signalbox/3450264.pdf"), "3450264")</f>
        <v>3450264</v>
      </c>
      <c r="R129" s="66" t="s">
        <v>11</v>
      </c>
      <c r="S129" s="67" t="s">
        <v>239</v>
      </c>
      <c r="T129" s="63">
        <v>3470006</v>
      </c>
      <c r="U129" s="5" t="s">
        <v>240</v>
      </c>
      <c r="V129" s="4" t="s">
        <v>239</v>
      </c>
      <c r="W129" s="5"/>
      <c r="X129" s="17" t="s">
        <v>11</v>
      </c>
      <c r="Y129" s="8" t="s">
        <v>241</v>
      </c>
      <c r="AC129" s="18" t="s">
        <v>11</v>
      </c>
      <c r="AD129" s="4" t="str">
        <f>HYPERLINK(CONCATENATE(TabelleURL!$B$1,"367/3674212-PDC.pdf"), "3674212-PDC")</f>
        <v>3674212-PDC</v>
      </c>
      <c r="AF129" s="8" t="str">
        <f>HYPERLINK(CONCATENATE(TabelleURL!$B$1,"340_Helfer/3404700.pdf"), "B-3404700")</f>
        <v>B-3404700</v>
      </c>
      <c r="AG129" s="2" t="str">
        <f>HYPERLINK(CONCATENATE(TabelleURL!$B$1,"340_Helfer/3404701.pdf"), "3404701")</f>
        <v>3404701</v>
      </c>
      <c r="AH129" s="4" t="str">
        <f>HYPERLINK(CONCATENATE(TabelleURL!$B$1,"346_CAN2com/346300XX.pdf"), "34630015")</f>
        <v>34630015</v>
      </c>
      <c r="AL129" s="3" t="s">
        <v>7</v>
      </c>
      <c r="AP129" s="2" t="str">
        <f>HYPERLINK(CONCATENATE(TabelleURL!$B$1,"367/3674700.pdf"), "3674700")</f>
        <v>3674700</v>
      </c>
      <c r="AU129" s="10"/>
    </row>
    <row r="130" spans="1:47">
      <c r="A130" s="19" t="s">
        <v>232</v>
      </c>
      <c r="B130" s="19" t="s">
        <v>261</v>
      </c>
      <c r="C130" s="19" t="s">
        <v>225</v>
      </c>
      <c r="D130" s="19" t="s">
        <v>263</v>
      </c>
      <c r="E130" s="77"/>
      <c r="F130" s="71"/>
      <c r="T130" s="63"/>
      <c r="U130" s="5"/>
      <c r="W130" s="5"/>
      <c r="X130" s="17"/>
      <c r="Y130" s="8"/>
      <c r="AC130" s="18"/>
      <c r="AF130" s="8" t="str">
        <f>HYPERLINK(CONCATENATE(TabelleURL!$B$1,"340_Helfer/3404700.pdf"), "B-3404700")</f>
        <v>B-3404700</v>
      </c>
      <c r="AI130" s="5" t="str">
        <f>HYPERLINK(CONCATENATE(TabelleURL!$B$1,"3499_Taxi/34990023.pdf"), "34990023")</f>
        <v>34990023</v>
      </c>
      <c r="AU130" s="10"/>
    </row>
    <row r="131" spans="1:47">
      <c r="A131" s="19" t="s">
        <v>232</v>
      </c>
      <c r="B131" s="19" t="s">
        <v>261</v>
      </c>
      <c r="C131" s="19" t="s">
        <v>264</v>
      </c>
      <c r="D131" s="19" t="s">
        <v>73</v>
      </c>
      <c r="E131" s="77"/>
      <c r="F131" s="71"/>
      <c r="G131" s="2" t="str">
        <f>HYPERLINK(CONCATENATE(TabelleURL!$B$1,"332_ADIF/332CI05.pdf"), "332CI05KA")</f>
        <v>332CI05KA</v>
      </c>
      <c r="H131" s="2" t="s">
        <v>238</v>
      </c>
      <c r="M131" s="5" t="str">
        <f>HYPERLINK(CONCATENATE(TabelleURL!$B$1,"345_Signalbox/3450264.pdf"), "3450264")</f>
        <v>3450264</v>
      </c>
      <c r="T131" s="63"/>
      <c r="U131" s="5"/>
      <c r="W131" s="5"/>
      <c r="X131" s="17"/>
      <c r="Y131" s="8"/>
      <c r="AC131" s="18"/>
      <c r="AF131" s="8" t="str">
        <f>HYPERLINK(CONCATENATE(TabelleURL!$B$1,"340_Helfer/3404700.pdf"), "B-3404700")</f>
        <v>B-3404700</v>
      </c>
      <c r="AI131" s="5" t="str">
        <f>HYPERLINK(CONCATENATE(TabelleURL!$B$1,"3499_Taxi/34990023.pdf"), "34990023")</f>
        <v>34990023</v>
      </c>
      <c r="AP131" s="2"/>
      <c r="AU131" s="10"/>
    </row>
    <row r="132" spans="1:47">
      <c r="A132" s="19" t="s">
        <v>232</v>
      </c>
      <c r="B132" s="19" t="s">
        <v>261</v>
      </c>
      <c r="C132" s="19" t="s">
        <v>265</v>
      </c>
      <c r="D132" s="19" t="s">
        <v>61</v>
      </c>
      <c r="E132" s="77"/>
      <c r="F132" s="71"/>
      <c r="T132" s="63"/>
      <c r="U132" s="5"/>
      <c r="W132" s="5"/>
      <c r="X132" s="17"/>
      <c r="Y132" s="8"/>
      <c r="AC132" s="18"/>
      <c r="AU132" s="10"/>
    </row>
    <row r="133" spans="1:47">
      <c r="A133" s="19" t="s">
        <v>232</v>
      </c>
      <c r="B133" s="19" t="s">
        <v>261</v>
      </c>
      <c r="C133" s="19" t="s">
        <v>266</v>
      </c>
      <c r="D133" s="19" t="s">
        <v>116</v>
      </c>
      <c r="E133" s="77"/>
      <c r="F133" s="71"/>
      <c r="G133" s="2" t="str">
        <f>HYPERLINK(CONCATENATE(TabelleURL!$B$1,"332_ADIF/332CI05.pdf"), "332CI05KA")</f>
        <v>332CI05KA</v>
      </c>
      <c r="H133" s="2" t="s">
        <v>238</v>
      </c>
      <c r="M133" s="5" t="str">
        <f>HYPERLINK(CONCATENATE(TabelleURL!$B$1,"345_Signalbox/3450264.pdf"), "3450264")</f>
        <v>3450264</v>
      </c>
      <c r="T133" s="63"/>
      <c r="U133" s="5"/>
      <c r="W133" s="5"/>
      <c r="X133" s="17"/>
      <c r="Y133" s="8"/>
      <c r="AC133" s="18"/>
      <c r="AF133" s="8" t="str">
        <f>HYPERLINK(CONCATENATE(TabelleURL!$B$1,"340_Helfer/3404700.pdf"), "B-3404700")</f>
        <v>B-3404700</v>
      </c>
      <c r="AI133" s="5" t="str">
        <f>HYPERLINK(CONCATENATE(TabelleURL!$B$1,"3499_Taxi/34990023.pdf"), "34990023")</f>
        <v>34990023</v>
      </c>
      <c r="AP133" s="2"/>
      <c r="AU133" s="10"/>
    </row>
    <row r="134" spans="1:47">
      <c r="A134" s="19" t="s">
        <v>232</v>
      </c>
      <c r="B134" s="19" t="s">
        <v>261</v>
      </c>
      <c r="C134" s="19" t="s">
        <v>259</v>
      </c>
      <c r="D134" s="81" t="s">
        <v>19</v>
      </c>
      <c r="E134" s="77"/>
      <c r="F134" s="71"/>
      <c r="G134" s="2" t="str">
        <f>HYPERLINK(CONCATENATE(TabelleURL!$B$1,"332_ADIF/332CI05.pdf"), "332CI05KA")</f>
        <v>332CI05KA</v>
      </c>
      <c r="H134" s="2" t="s">
        <v>238</v>
      </c>
      <c r="M134" s="5" t="str">
        <f>HYPERLINK(CONCATENATE(TabelleURL!$B$1,"345_Signalbox/3450264.pdf"), "3450264")</f>
        <v>3450264</v>
      </c>
      <c r="T134" s="63"/>
      <c r="U134" s="5"/>
      <c r="W134" s="5"/>
      <c r="X134" s="17"/>
      <c r="Y134" s="8"/>
      <c r="AC134" s="18"/>
      <c r="AF134" s="8" t="str">
        <f>HYPERLINK(CONCATENATE(TabelleURL!$B$1,"340_Helfer/3404700.pdf"), "B-3404700")</f>
        <v>B-3404700</v>
      </c>
      <c r="AI134" s="5" t="str">
        <f>HYPERLINK(CONCATENATE(TabelleURL!$B$1,"3499_Taxi/34990023.pdf"), "34990023")</f>
        <v>34990023</v>
      </c>
      <c r="AP134" s="2"/>
      <c r="AU134" s="10"/>
    </row>
    <row r="135" spans="1:47">
      <c r="A135" s="19" t="s">
        <v>232</v>
      </c>
      <c r="B135" s="19" t="s">
        <v>267</v>
      </c>
      <c r="C135" s="19" t="s">
        <v>219</v>
      </c>
      <c r="D135" s="19" t="s">
        <v>268</v>
      </c>
      <c r="E135" s="77"/>
      <c r="F135" s="71"/>
      <c r="T135" s="63"/>
      <c r="U135" s="5"/>
      <c r="W135" s="5"/>
      <c r="X135" s="17" t="s">
        <v>11</v>
      </c>
      <c r="Y135" s="8" t="s">
        <v>241</v>
      </c>
      <c r="AC135" s="18" t="s">
        <v>11</v>
      </c>
      <c r="AD135" s="4" t="str">
        <f>HYPERLINK(CONCATENATE(TabelleURL!$B$1,"367/3674212-PDC.pdf"), "3674212-PDC")</f>
        <v>3674212-PDC</v>
      </c>
      <c r="AF135" s="8" t="str">
        <f>HYPERLINK(CONCATENATE(TabelleURL!$B$1,"340_Helfer/3404700.pdf"), "B-3404700")</f>
        <v>B-3404700</v>
      </c>
      <c r="AG135" s="2" t="str">
        <f>HYPERLINK(CONCATENATE(TabelleURL!$B$1,"340_Helfer/3404701.pdf"), "3404701")</f>
        <v>3404701</v>
      </c>
      <c r="AL135" s="3" t="s">
        <v>7</v>
      </c>
      <c r="AP135" s="2" t="str">
        <f>HYPERLINK(CONCATENATE(TabelleURL!$B$1,"367/3674700.pdf"), "3674700")</f>
        <v>3674700</v>
      </c>
      <c r="AU135" s="10"/>
    </row>
    <row r="136" spans="1:47">
      <c r="A136" s="19" t="s">
        <v>232</v>
      </c>
      <c r="B136" s="19" t="s">
        <v>267</v>
      </c>
      <c r="C136" s="19" t="s">
        <v>219</v>
      </c>
      <c r="D136" s="19" t="s">
        <v>269</v>
      </c>
      <c r="E136" s="77"/>
      <c r="F136" s="71"/>
      <c r="R136" s="66" t="s">
        <v>11</v>
      </c>
      <c r="S136" s="67" t="s">
        <v>239</v>
      </c>
      <c r="T136" s="63">
        <v>3470006</v>
      </c>
      <c r="U136" s="5" t="s">
        <v>240</v>
      </c>
      <c r="V136" s="4" t="s">
        <v>239</v>
      </c>
      <c r="W136" s="5"/>
      <c r="X136" s="17" t="s">
        <v>11</v>
      </c>
      <c r="Y136" s="8" t="s">
        <v>241</v>
      </c>
      <c r="AC136" s="18" t="s">
        <v>11</v>
      </c>
      <c r="AD136" s="4" t="str">
        <f>HYPERLINK(CONCATENATE(TabelleURL!$B$1,"367/3674212-PDC.pdf"), "3674212-PDC")</f>
        <v>3674212-PDC</v>
      </c>
      <c r="AF136" s="8" t="str">
        <f>HYPERLINK(CONCATENATE(TabelleURL!$B$1,"340_Helfer/3404700.pdf"), "B-3404700")</f>
        <v>B-3404700</v>
      </c>
      <c r="AG136" s="2" t="str">
        <f>HYPERLINK(CONCATENATE(TabelleURL!$B$1,"340_Helfer/3404701.pdf"), "3404701")</f>
        <v>3404701</v>
      </c>
      <c r="AL136" s="3" t="s">
        <v>7</v>
      </c>
      <c r="AP136" s="2" t="str">
        <f>HYPERLINK(CONCATENATE(TabelleURL!$B$1,"367/3674700.pdf"), "3674700")</f>
        <v>3674700</v>
      </c>
      <c r="AU136" s="10"/>
    </row>
    <row r="137" spans="1:47">
      <c r="A137" s="19" t="s">
        <v>232</v>
      </c>
      <c r="B137" s="19" t="s">
        <v>267</v>
      </c>
      <c r="C137" s="19" t="s">
        <v>270</v>
      </c>
      <c r="D137" s="19" t="s">
        <v>29</v>
      </c>
      <c r="E137" s="77"/>
      <c r="F137" s="71"/>
      <c r="G137" s="2" t="str">
        <f>HYPERLINK(CONCATENATE(TabelleURL!$B$1,"332_ADIF/332CI05.pdf"), "332CI05KA")</f>
        <v>332CI05KA</v>
      </c>
      <c r="H137" s="2" t="s">
        <v>238</v>
      </c>
      <c r="M137" s="5" t="str">
        <f>HYPERLINK(CONCATENATE(TabelleURL!$B$1,"345_Signalbox/3450264.pdf"), "3450264")</f>
        <v>3450264</v>
      </c>
      <c r="R137" s="66" t="s">
        <v>11</v>
      </c>
      <c r="S137" s="67" t="s">
        <v>239</v>
      </c>
      <c r="T137" s="63">
        <v>3470006</v>
      </c>
      <c r="U137" s="5" t="s">
        <v>240</v>
      </c>
      <c r="V137" s="4" t="s">
        <v>239</v>
      </c>
      <c r="W137" s="5"/>
      <c r="X137" s="17" t="s">
        <v>11</v>
      </c>
      <c r="Y137" s="8" t="s">
        <v>241</v>
      </c>
      <c r="AC137" s="18" t="s">
        <v>11</v>
      </c>
      <c r="AD137" s="4" t="str">
        <f>HYPERLINK(CONCATENATE(TabelleURL!$B$1,"367/3674212-PDC.pdf"), "3674212-PDC")</f>
        <v>3674212-PDC</v>
      </c>
      <c r="AF137" s="8" t="str">
        <f>HYPERLINK(CONCATENATE(TabelleURL!$B$1,"340_Helfer/3404700.pdf"), "B-3404700")</f>
        <v>B-3404700</v>
      </c>
      <c r="AG137" s="2" t="str">
        <f>HYPERLINK(CONCATENATE(TabelleURL!$B$1,"340_Helfer/3404701.pdf"), "3404701")</f>
        <v>3404701</v>
      </c>
      <c r="AH137" s="4" t="str">
        <f>HYPERLINK(CONCATENATE(TabelleURL!$B$1,"346_CAN2com/346300XX.pdf"), "34630015")</f>
        <v>34630015</v>
      </c>
      <c r="AI137" s="5" t="str">
        <f>HYPERLINK(CONCATENATE(TabelleURL!$B$1,"3499_Taxi/34990023.pdf"), "34990023")</f>
        <v>34990023</v>
      </c>
      <c r="AL137" s="3" t="s">
        <v>7</v>
      </c>
      <c r="AP137" s="2" t="str">
        <f>HYPERLINK(CONCATENATE(TabelleURL!$B$1,"367/3674700.pdf"), "3674700")</f>
        <v>3674700</v>
      </c>
      <c r="AU137" s="10"/>
    </row>
    <row r="138" spans="1:47">
      <c r="A138" s="19" t="s">
        <v>232</v>
      </c>
      <c r="B138" s="19" t="s">
        <v>271</v>
      </c>
      <c r="C138" s="19"/>
      <c r="D138" s="19" t="s">
        <v>272</v>
      </c>
      <c r="E138" s="77"/>
      <c r="F138" s="71" t="s">
        <v>273</v>
      </c>
      <c r="R138" s="66" t="s">
        <v>11</v>
      </c>
      <c r="S138" s="67" t="s">
        <v>239</v>
      </c>
      <c r="T138" s="63">
        <v>3470006</v>
      </c>
      <c r="U138" s="5" t="s">
        <v>240</v>
      </c>
      <c r="V138" s="4" t="s">
        <v>239</v>
      </c>
      <c r="W138" s="5"/>
      <c r="X138" s="17" t="s">
        <v>11</v>
      </c>
      <c r="Y138" s="8" t="s">
        <v>241</v>
      </c>
      <c r="AC138" s="18" t="s">
        <v>11</v>
      </c>
      <c r="AD138" s="4" t="str">
        <f>HYPERLINK(CONCATENATE(TabelleURL!$B$1,"367/3674212-PDC.pdf"), "3674212-PDC")</f>
        <v>3674212-PDC</v>
      </c>
      <c r="AF138" s="8" t="str">
        <f>HYPERLINK(CONCATENATE(TabelleURL!$B$1,"340_Helfer/3404700.pdf"), "B-3404700")</f>
        <v>B-3404700</v>
      </c>
      <c r="AG138" s="2" t="str">
        <f>HYPERLINK(CONCATENATE(TabelleURL!$B$1,"340_Helfer/3404701.pdf"), "3404701")</f>
        <v>3404701</v>
      </c>
      <c r="AL138" s="3" t="s">
        <v>7</v>
      </c>
      <c r="AP138" s="2" t="str">
        <f>HYPERLINK(CONCATENATE(TabelleURL!$B$1,"367/3674700.pdf"), "3674700")</f>
        <v>3674700</v>
      </c>
      <c r="AU138" s="10"/>
    </row>
    <row r="139" spans="1:47">
      <c r="A139" s="19" t="s">
        <v>232</v>
      </c>
      <c r="B139" s="19" t="s">
        <v>274</v>
      </c>
      <c r="C139" s="19" t="s">
        <v>225</v>
      </c>
      <c r="D139" s="19" t="s">
        <v>251</v>
      </c>
      <c r="E139" s="77"/>
      <c r="F139" s="71"/>
      <c r="G139" s="2" t="str">
        <f>HYPERLINK(CONCATENATE(TabelleURL!$B$1,"332_ADIF/332CI05.pdf"), "332CI05KA")</f>
        <v>332CI05KA</v>
      </c>
      <c r="H139" s="2" t="s">
        <v>238</v>
      </c>
      <c r="M139" s="5" t="str">
        <f>HYPERLINK(CONCATENATE(TabelleURL!$B$1,"345_Signalbox/3450264.pdf"), "3450264")</f>
        <v>3450264</v>
      </c>
      <c r="R139" s="66" t="s">
        <v>11</v>
      </c>
      <c r="S139" s="67" t="s">
        <v>239</v>
      </c>
      <c r="T139" s="63">
        <v>3470006</v>
      </c>
      <c r="U139" s="5" t="s">
        <v>240</v>
      </c>
      <c r="V139" s="4" t="s">
        <v>239</v>
      </c>
      <c r="W139" s="5"/>
      <c r="X139" s="17"/>
      <c r="Y139" s="8"/>
      <c r="AC139" s="18"/>
      <c r="AF139" s="8" t="str">
        <f>HYPERLINK(CONCATENATE(TabelleURL!$B$1,"340_Helfer/3404700.pdf"), "B-3404700")</f>
        <v>B-3404700</v>
      </c>
      <c r="AG139" s="2" t="str">
        <f>HYPERLINK(CONCATENATE(TabelleURL!$B$1,"340_Helfer/3404701.pdf"), "3404701")</f>
        <v>3404701</v>
      </c>
      <c r="AH139" s="4" t="str">
        <f>HYPERLINK(CONCATENATE(TabelleURL!$B$1,"346_CAN2com/346300XX.pdf"), "34630015")</f>
        <v>34630015</v>
      </c>
      <c r="AI139" s="5" t="str">
        <f>HYPERLINK(CONCATENATE(TabelleURL!$B$1,"3499_Taxi/34990023.pdf"), "34990023")</f>
        <v>34990023</v>
      </c>
      <c r="AL139" s="3" t="s">
        <v>7</v>
      </c>
      <c r="AP139" s="2" t="str">
        <f>HYPERLINK(CONCATENATE(TabelleURL!$B$1,"367/3674700.pdf"), "3674700")</f>
        <v>3674700</v>
      </c>
      <c r="AU139" s="10"/>
    </row>
    <row r="140" spans="1:47">
      <c r="A140" s="19" t="s">
        <v>232</v>
      </c>
      <c r="B140" s="19" t="s">
        <v>275</v>
      </c>
      <c r="C140" s="19"/>
      <c r="D140" s="19" t="s">
        <v>213</v>
      </c>
      <c r="E140" s="77"/>
      <c r="F140" s="71"/>
      <c r="G140" s="2" t="str">
        <f>HYPERLINK(CONCATENATE(TabelleURL!$B$1,"332_ADIF/332CI05.pdf"), "332CI05KA")</f>
        <v>332CI05KA</v>
      </c>
      <c r="H140" s="2" t="s">
        <v>238</v>
      </c>
      <c r="R140" s="66" t="s">
        <v>11</v>
      </c>
      <c r="S140" s="67" t="s">
        <v>239</v>
      </c>
      <c r="T140" s="63">
        <v>3470006</v>
      </c>
      <c r="U140" s="5" t="s">
        <v>240</v>
      </c>
      <c r="V140" s="4" t="s">
        <v>239</v>
      </c>
      <c r="W140" s="5"/>
      <c r="X140" s="17"/>
      <c r="Y140" s="8"/>
      <c r="AC140" s="18"/>
      <c r="AF140" s="8" t="str">
        <f>HYPERLINK(CONCATENATE(TabelleURL!$B$1,"340_Helfer/3404700.pdf"), "B-3404700")</f>
        <v>B-3404700</v>
      </c>
      <c r="AG140" s="2" t="str">
        <f>HYPERLINK(CONCATENATE(TabelleURL!$B$1,"340_Helfer/3404701.pdf"), "3404701")</f>
        <v>3404701</v>
      </c>
      <c r="AL140" s="3" t="s">
        <v>7</v>
      </c>
      <c r="AP140" s="2" t="str">
        <f>HYPERLINK(CONCATENATE(TabelleURL!$B$1,"367/3674700.pdf"), "3674700")</f>
        <v>3674700</v>
      </c>
      <c r="AU140" s="10"/>
    </row>
    <row r="141" spans="1:47">
      <c r="A141" s="19" t="s">
        <v>232</v>
      </c>
      <c r="B141" s="19" t="s">
        <v>276</v>
      </c>
      <c r="C141" s="19"/>
      <c r="D141" s="19" t="s">
        <v>86</v>
      </c>
      <c r="E141" s="77"/>
      <c r="F141" s="71"/>
      <c r="G141" s="2" t="str">
        <f>HYPERLINK(CONCATENATE(TabelleURL!$B$1,"332_ADIF/332CI05.pdf"), "332CI05KA")</f>
        <v>332CI05KA</v>
      </c>
      <c r="H141" s="2" t="s">
        <v>238</v>
      </c>
      <c r="R141" s="66" t="s">
        <v>11</v>
      </c>
      <c r="S141" s="67" t="s">
        <v>239</v>
      </c>
      <c r="T141" s="63">
        <v>3470006</v>
      </c>
      <c r="U141" s="5" t="s">
        <v>240</v>
      </c>
      <c r="V141" s="4" t="s">
        <v>239</v>
      </c>
      <c r="W141" s="5"/>
      <c r="X141" s="17"/>
      <c r="Y141" s="8"/>
      <c r="AC141" s="18"/>
      <c r="AF141" s="8" t="str">
        <f>HYPERLINK(CONCATENATE(TabelleURL!$B$1,"340_Helfer/3404700.pdf"), "B-3404700")</f>
        <v>B-3404700</v>
      </c>
      <c r="AG141" s="2" t="str">
        <f>HYPERLINK(CONCATENATE(TabelleURL!$B$1,"340_Helfer/3404701.pdf"), "3404701")</f>
        <v>3404701</v>
      </c>
      <c r="AL141" s="3" t="s">
        <v>7</v>
      </c>
      <c r="AP141" s="2" t="str">
        <f>HYPERLINK(CONCATENATE(TabelleURL!$B$1,"367/3674700.pdf"), "3674700")</f>
        <v>3674700</v>
      </c>
      <c r="AU141" s="10"/>
    </row>
    <row r="142" spans="1:47">
      <c r="A142" s="19" t="s">
        <v>232</v>
      </c>
      <c r="B142" s="19" t="s">
        <v>277</v>
      </c>
      <c r="C142" s="19" t="s">
        <v>225</v>
      </c>
      <c r="D142" s="19" t="s">
        <v>278</v>
      </c>
      <c r="E142" s="77"/>
      <c r="F142" s="71"/>
      <c r="G142" s="2" t="str">
        <f>HYPERLINK(CONCATENATE(TabelleURL!$B$1,"332_ADIF/332CI05.pdf"), "332CI05KA")</f>
        <v>332CI05KA</v>
      </c>
      <c r="H142" s="2" t="s">
        <v>238</v>
      </c>
      <c r="M142" s="5" t="str">
        <f>HYPERLINK(CONCATENATE(TabelleURL!$B$1,"345_Signalbox/3450257.pdf"), "3450257")</f>
        <v>3450257</v>
      </c>
      <c r="R142" s="66" t="s">
        <v>11</v>
      </c>
      <c r="S142" s="67" t="str">
        <f>HYPERLINK(CONCATENATE(TabelleURL!$B$1,"347_URI/3474761.pdf"), "B-3474761")</f>
        <v>B-3474761</v>
      </c>
      <c r="T142" s="63">
        <v>3474761</v>
      </c>
      <c r="U142" s="5" t="s">
        <v>12</v>
      </c>
      <c r="W142" s="5"/>
      <c r="X142" s="17"/>
      <c r="Y142" s="8"/>
      <c r="AC142" s="18"/>
      <c r="AF142" s="8" t="str">
        <f>HYPERLINK(CONCATENATE(TabelleURL!$B$1,"340_Helfer/3404700.pdf"), "B-3404700")</f>
        <v>B-3404700</v>
      </c>
      <c r="AG142" s="2" t="str">
        <f>HYPERLINK(CONCATENATE(TabelleURL!$B$1,"340_Helfer/3404701.pdf"), "3404701")</f>
        <v>3404701</v>
      </c>
      <c r="AI142" s="5" t="str">
        <f>HYPERLINK(CONCATENATE(TabelleURL!$B$1,"3499_Taxi/34990021.pdf"), "34990021")</f>
        <v>34990021</v>
      </c>
      <c r="AL142" s="3" t="s">
        <v>7</v>
      </c>
      <c r="AM142" s="7" t="s">
        <v>279</v>
      </c>
      <c r="AP142" s="2" t="str">
        <f>HYPERLINK(CONCATENATE(TabelleURL!$B$1,"367/3674700.pdf"), "3674700")</f>
        <v>3674700</v>
      </c>
      <c r="AU142" s="10"/>
    </row>
    <row r="143" spans="1:47">
      <c r="A143" s="19" t="s">
        <v>232</v>
      </c>
      <c r="B143" s="19" t="s">
        <v>277</v>
      </c>
      <c r="C143" s="19" t="s">
        <v>225</v>
      </c>
      <c r="D143" s="19" t="s">
        <v>280</v>
      </c>
      <c r="E143" s="77"/>
      <c r="F143" s="71"/>
      <c r="G143" s="2" t="str">
        <f>HYPERLINK(CONCATENATE(TabelleURL!$B$1,"332_ADIF/332CI05.pdf"), "332CI05KA")</f>
        <v>332CI05KA</v>
      </c>
      <c r="H143" s="2" t="s">
        <v>238</v>
      </c>
      <c r="M143" s="5" t="str">
        <f>HYPERLINK(CONCATENATE(TabelleURL!$B$1,"345_Signalbox/3450257.pdf"), "3450257")</f>
        <v>3450257</v>
      </c>
      <c r="R143" s="66" t="s">
        <v>11</v>
      </c>
      <c r="S143" s="67" t="str">
        <f>HYPERLINK(CONCATENATE(TabelleURL!$B$1,"347_URI/3474761.pdf"), "B-3474761")</f>
        <v>B-3474761</v>
      </c>
      <c r="T143" s="63">
        <v>3474761</v>
      </c>
      <c r="U143" s="5" t="s">
        <v>12</v>
      </c>
      <c r="W143" s="5"/>
      <c r="X143" s="17"/>
      <c r="Y143" s="8"/>
      <c r="AC143" s="18"/>
      <c r="AF143" s="8" t="str">
        <f>HYPERLINK(CONCATENATE(TabelleURL!$B$1,"340_Helfer/3404700.pdf"), "B-3404700")</f>
        <v>B-3404700</v>
      </c>
      <c r="AG143" s="2" t="str">
        <f>HYPERLINK(CONCATENATE(TabelleURL!$B$1,"340_Helfer/3404701.pdf"), "3404701")</f>
        <v>3404701</v>
      </c>
      <c r="AI143" s="5" t="str">
        <f>HYPERLINK(CONCATENATE(TabelleURL!$B$1,"3499_Taxi/34990021.pdf"), "34990021")</f>
        <v>34990021</v>
      </c>
      <c r="AL143" s="3" t="s">
        <v>7</v>
      </c>
      <c r="AM143" s="7" t="s">
        <v>279</v>
      </c>
      <c r="AP143" s="2" t="str">
        <f>HYPERLINK(CONCATENATE(TabelleURL!$B$1,"367/3674700.pdf"), "3674700")</f>
        <v>3674700</v>
      </c>
      <c r="AU143" s="10"/>
    </row>
    <row r="144" spans="1:47">
      <c r="A144" s="19" t="s">
        <v>232</v>
      </c>
      <c r="B144" s="19" t="s">
        <v>277</v>
      </c>
      <c r="C144" s="19" t="s">
        <v>225</v>
      </c>
      <c r="D144" s="19" t="s">
        <v>116</v>
      </c>
      <c r="E144" s="77"/>
      <c r="F144" s="71"/>
      <c r="G144" s="2" t="str">
        <f>HYPERLINK(CONCATENATE(TabelleURL!$B$1,"332_ADIF/332CI02.pdf"), "332CI02KA")</f>
        <v>332CI02KA</v>
      </c>
      <c r="M144" s="5" t="str">
        <f>HYPERLINK(CONCATENATE(TabelleURL!$B$1,"345_Signalbox/3450257.pdf"), "3450257")</f>
        <v>3450257</v>
      </c>
      <c r="T144" s="63"/>
      <c r="U144" s="5"/>
      <c r="W144" s="5"/>
      <c r="X144" s="17"/>
      <c r="Y144" s="8"/>
      <c r="AC144" s="18"/>
      <c r="AF144" s="8" t="str">
        <f>HYPERLINK(CONCATENATE(TabelleURL!$B$1,"340_Helfer/3404700.pdf"), "B-3404700")</f>
        <v>B-3404700</v>
      </c>
      <c r="AG144" s="2" t="str">
        <f>HYPERLINK(CONCATENATE(TabelleURL!$B$1,"340_Helfer/3404701.pdf"), "3404701")</f>
        <v>3404701</v>
      </c>
      <c r="AI144" s="5" t="str">
        <f>HYPERLINK(CONCATENATE(TabelleURL!$B$1,"3499_Taxi/34990021.pdf"), "34990021")</f>
        <v>34990021</v>
      </c>
      <c r="AP144" s="2" t="str">
        <f>HYPERLINK(CONCATENATE(TabelleURL!$B$1,"367/3674700.pdf"), "3674700")</f>
        <v>3674700</v>
      </c>
      <c r="AU144" s="10"/>
    </row>
    <row r="145" spans="1:47">
      <c r="A145" s="19" t="s">
        <v>232</v>
      </c>
      <c r="B145" s="19" t="s">
        <v>281</v>
      </c>
      <c r="C145" s="19" t="s">
        <v>225</v>
      </c>
      <c r="D145" s="19" t="s">
        <v>1374</v>
      </c>
      <c r="E145" s="77"/>
      <c r="F145" s="71"/>
      <c r="G145" s="2" t="str">
        <f>HYPERLINK(CONCATENATE(TabelleURL!$B$1,"332_ADIF/332CI05.pdf"), "332CI05KA")</f>
        <v>332CI05KA</v>
      </c>
      <c r="H145" s="2" t="s">
        <v>238</v>
      </c>
      <c r="M145" s="5" t="str">
        <f>HYPERLINK(CONCATENATE(TabelleURL!$B$1,"345_Signalbox/3450264.pdf"), "3450264")</f>
        <v>3450264</v>
      </c>
      <c r="R145" s="66" t="s">
        <v>11</v>
      </c>
      <c r="S145" s="67" t="s">
        <v>239</v>
      </c>
      <c r="T145" s="63">
        <v>3470006</v>
      </c>
      <c r="U145" s="5" t="s">
        <v>240</v>
      </c>
      <c r="V145" s="4" t="s">
        <v>239</v>
      </c>
      <c r="W145" s="5"/>
      <c r="X145" s="17" t="s">
        <v>11</v>
      </c>
      <c r="Y145" s="8" t="s">
        <v>241</v>
      </c>
      <c r="AC145" s="18" t="s">
        <v>11</v>
      </c>
      <c r="AD145" s="4" t="str">
        <f>HYPERLINK(CONCATENATE(TabelleURL!$B$1,"367/3674212-PDC.pdf"), "3674212-PDC")</f>
        <v>3674212-PDC</v>
      </c>
      <c r="AF145" s="8" t="str">
        <f>HYPERLINK(CONCATENATE(TabelleURL!$B$1,"340_Helfer/3404700.pdf"), "B-3404700")</f>
        <v>B-3404700</v>
      </c>
      <c r="AG145" s="2" t="str">
        <f>HYPERLINK(CONCATENATE(TabelleURL!$B$1,"340_Helfer/3404701.pdf"), "3404701")</f>
        <v>3404701</v>
      </c>
      <c r="AH145" s="4" t="str">
        <f>HYPERLINK(CONCATENATE(TabelleURL!$B$1,"346_CAN2com/346300XX.pdf"), "34630015")</f>
        <v>34630015</v>
      </c>
      <c r="AI145" s="5" t="str">
        <f>HYPERLINK(CONCATENATE(TabelleURL!$B$1,"3499_Taxi/34990020.pdf"), "34990020")</f>
        <v>34990020</v>
      </c>
      <c r="AL145" s="3" t="s">
        <v>7</v>
      </c>
      <c r="AP145" s="2" t="str">
        <f>HYPERLINK(CONCATENATE(TabelleURL!$B$1,"367/3674700.pdf"), "3674700")</f>
        <v>3674700</v>
      </c>
      <c r="AU145" s="10"/>
    </row>
    <row r="146" spans="1:47">
      <c r="A146" s="19" t="s">
        <v>232</v>
      </c>
      <c r="B146" s="19" t="s">
        <v>281</v>
      </c>
      <c r="C146" s="19" t="s">
        <v>258</v>
      </c>
      <c r="D146" s="81" t="s">
        <v>25</v>
      </c>
      <c r="E146" s="77"/>
      <c r="F146" s="71"/>
      <c r="G146" s="2" t="str">
        <f>HYPERLINK(CONCATENATE(TabelleURL!$B$1,"332_ADIF/332CI05.pdf"), "332CI05KA")</f>
        <v>332CI05KA</v>
      </c>
      <c r="H146" s="2" t="s">
        <v>238</v>
      </c>
      <c r="M146" s="5" t="str">
        <f>HYPERLINK(CONCATENATE(TabelleURL!$B$1,"345_Signalbox/3450264.pdf"), "3450264")</f>
        <v>3450264</v>
      </c>
      <c r="R146" s="66" t="s">
        <v>11</v>
      </c>
      <c r="S146" s="67" t="s">
        <v>239</v>
      </c>
      <c r="T146" s="63">
        <v>3470006</v>
      </c>
      <c r="U146" s="5" t="s">
        <v>240</v>
      </c>
      <c r="V146" s="4" t="s">
        <v>239</v>
      </c>
      <c r="W146" s="5"/>
      <c r="X146" s="17" t="s">
        <v>11</v>
      </c>
      <c r="Y146" s="8" t="s">
        <v>241</v>
      </c>
      <c r="AC146" s="18" t="s">
        <v>11</v>
      </c>
      <c r="AD146" s="4" t="str">
        <f>HYPERLINK(CONCATENATE(TabelleURL!$B$1,"367/3674212-PDC.pdf"), "3674212-PDC")</f>
        <v>3674212-PDC</v>
      </c>
      <c r="AF146" s="8" t="str">
        <f>HYPERLINK(CONCATENATE(TabelleURL!$B$1,"340_Helfer/3404700.pdf"), "B-3404700")</f>
        <v>B-3404700</v>
      </c>
      <c r="AG146" s="2" t="str">
        <f>HYPERLINK(CONCATENATE(TabelleURL!$B$1,"340_Helfer/3404701.pdf"), "3404701")</f>
        <v>3404701</v>
      </c>
      <c r="AH146" s="4" t="str">
        <f>HYPERLINK(CONCATENATE(TabelleURL!$B$1,"346_CAN2com/346300XX.pdf"), "34630015")</f>
        <v>34630015</v>
      </c>
      <c r="AI146" s="5" t="str">
        <f>HYPERLINK(CONCATENATE(TabelleURL!$B$1,"3499_Taxi/34990023.pdf"), "34990023")</f>
        <v>34990023</v>
      </c>
      <c r="AL146" s="3" t="s">
        <v>7</v>
      </c>
      <c r="AP146" s="2" t="str">
        <f>HYPERLINK(CONCATENATE(TabelleURL!$B$1,"367/3674700.pdf"), "3674700")</f>
        <v>3674700</v>
      </c>
      <c r="AU146" s="10"/>
    </row>
    <row r="147" spans="1:47">
      <c r="A147" s="19" t="s">
        <v>232</v>
      </c>
      <c r="B147" s="19" t="s">
        <v>282</v>
      </c>
      <c r="C147" s="19"/>
      <c r="D147" s="19" t="s">
        <v>251</v>
      </c>
      <c r="E147" s="77"/>
      <c r="F147" s="71"/>
      <c r="G147" s="2" t="str">
        <f>HYPERLINK(CONCATENATE(TabelleURL!$B$1,"332_ADIF/332FI01.pdf"), "332FI01")</f>
        <v>332FI01</v>
      </c>
      <c r="I147" s="2" t="str">
        <f>HYPERLINK(CONCATENATE(TabelleURL!$B$1,"342_ADIF/342FI01ZI.pdf"), "342FI01/0/ZI")</f>
        <v>342FI01/0/ZI</v>
      </c>
      <c r="R147" s="66" t="s">
        <v>11</v>
      </c>
      <c r="S147" s="67" t="s">
        <v>239</v>
      </c>
      <c r="T147" s="63">
        <v>3470006</v>
      </c>
      <c r="U147" s="5" t="s">
        <v>240</v>
      </c>
      <c r="V147" s="4" t="s">
        <v>239</v>
      </c>
      <c r="W147" s="5"/>
      <c r="X147" s="17" t="s">
        <v>11</v>
      </c>
      <c r="Y147" s="8" t="s">
        <v>241</v>
      </c>
      <c r="AC147" s="18" t="s">
        <v>11</v>
      </c>
      <c r="AD147" s="4" t="str">
        <f>HYPERLINK(CONCATENATE(TabelleURL!$B$1,"367/3674212-PDC.pdf"), "3674212-PDC")</f>
        <v>3674212-PDC</v>
      </c>
      <c r="AF147" s="8" t="str">
        <f>HYPERLINK(CONCATENATE(TabelleURL!$B$1,"340_Helfer/3404700.pdf"), "B-3404700")</f>
        <v>B-3404700</v>
      </c>
      <c r="AG147" s="2" t="str">
        <f>HYPERLINK(CONCATENATE(TabelleURL!$B$1,"340_Helfer/3404701.pdf"), "3404701")</f>
        <v>3404701</v>
      </c>
      <c r="AL147" s="3" t="s">
        <v>7</v>
      </c>
      <c r="AP147" s="2" t="str">
        <f>HYPERLINK(CONCATENATE(TabelleURL!$B$1,"367/3674700.pdf"), "3674700")</f>
        <v>3674700</v>
      </c>
      <c r="AU147" s="10"/>
    </row>
    <row r="148" spans="1:47">
      <c r="A148" s="19" t="s">
        <v>232</v>
      </c>
      <c r="B148" s="19" t="s">
        <v>259</v>
      </c>
      <c r="C148" s="19"/>
      <c r="D148" s="19" t="s">
        <v>23</v>
      </c>
      <c r="E148" s="77"/>
      <c r="F148" s="71"/>
      <c r="R148" s="66" t="s">
        <v>11</v>
      </c>
      <c r="S148" s="67" t="s">
        <v>239</v>
      </c>
      <c r="T148" s="63">
        <v>3470006</v>
      </c>
      <c r="U148" s="5" t="s">
        <v>240</v>
      </c>
      <c r="V148" s="4" t="s">
        <v>239</v>
      </c>
      <c r="W148" s="5"/>
      <c r="X148" s="17" t="s">
        <v>11</v>
      </c>
      <c r="Y148" s="8" t="s">
        <v>241</v>
      </c>
      <c r="AA148" s="4">
        <v>3614761</v>
      </c>
      <c r="AC148" s="18" t="s">
        <v>11</v>
      </c>
      <c r="AD148" s="4" t="str">
        <f>HYPERLINK(CONCATENATE(TabelleURL!$B$1,"367/3674212-PDC.pdf"), "3674212-PDC")</f>
        <v>3674212-PDC</v>
      </c>
      <c r="AU148" s="10"/>
    </row>
    <row r="149" spans="1:47">
      <c r="A149" s="19" t="s">
        <v>232</v>
      </c>
      <c r="B149" s="19" t="s">
        <v>283</v>
      </c>
      <c r="C149" s="19"/>
      <c r="D149" s="19" t="s">
        <v>92</v>
      </c>
      <c r="E149" s="77"/>
      <c r="F149" s="71"/>
      <c r="G149" s="2" t="str">
        <f>HYPERLINK(CONCATENATE(TabelleURL!$B$1,"332_ADIF/332CI05.pdf"), "332CI05KA")</f>
        <v>332CI05KA</v>
      </c>
      <c r="H149" s="2" t="s">
        <v>238</v>
      </c>
      <c r="R149" s="66" t="s">
        <v>11</v>
      </c>
      <c r="S149" s="67" t="s">
        <v>239</v>
      </c>
      <c r="T149" s="63">
        <v>3470006</v>
      </c>
      <c r="U149" s="5" t="s">
        <v>240</v>
      </c>
      <c r="V149" s="4" t="s">
        <v>239</v>
      </c>
      <c r="W149" s="5"/>
      <c r="X149" s="17" t="s">
        <v>11</v>
      </c>
      <c r="Y149" s="8" t="s">
        <v>241</v>
      </c>
      <c r="AB149" s="2" t="s">
        <v>158</v>
      </c>
      <c r="AC149" s="18" t="s">
        <v>11</v>
      </c>
      <c r="AD149" s="4" t="str">
        <f>HYPERLINK(CONCATENATE(TabelleURL!$B$1,"367/3674212-PDC.pdf"), "3674212-PDC")</f>
        <v>3674212-PDC</v>
      </c>
      <c r="AF149" s="8" t="str">
        <f>HYPERLINK(CONCATENATE(TabelleURL!$B$1,"340_Helfer/3404700.pdf"), "B-3404700")</f>
        <v>B-3404700</v>
      </c>
      <c r="AG149" s="2" t="str">
        <f>HYPERLINK(CONCATENATE(TabelleURL!$B$1,"340_Helfer/3404701.pdf"), "3404701")</f>
        <v>3404701</v>
      </c>
      <c r="AL149" s="3" t="s">
        <v>7</v>
      </c>
      <c r="AP149" s="2" t="str">
        <f>HYPERLINK(CONCATENATE(TabelleURL!$B$1,"367/3674700.pdf"), "3674700")</f>
        <v>3674700</v>
      </c>
      <c r="AU149" s="10"/>
    </row>
    <row r="150" spans="1:47">
      <c r="A150" s="19" t="s">
        <v>284</v>
      </c>
      <c r="B150" s="19" t="s">
        <v>285</v>
      </c>
      <c r="C150" s="19"/>
      <c r="D150" s="19" t="s">
        <v>61</v>
      </c>
      <c r="E150" s="77"/>
      <c r="F150" s="71"/>
      <c r="G150" s="2" t="str">
        <f>HYPERLINK(CONCATENATE(TabelleURL!$B$1,"332_ADIF/332DC01.pdf"), "332DC01")</f>
        <v>332DC01</v>
      </c>
      <c r="T150" s="63"/>
      <c r="U150" s="5"/>
      <c r="W150" s="5"/>
      <c r="X150" s="17"/>
      <c r="Y150" s="8"/>
      <c r="AB150" s="2" t="s">
        <v>127</v>
      </c>
      <c r="AC150" s="18"/>
    </row>
    <row r="151" spans="1:47">
      <c r="A151" s="19" t="s">
        <v>284</v>
      </c>
      <c r="B151" s="19" t="s">
        <v>286</v>
      </c>
      <c r="C151" s="19"/>
      <c r="D151" s="19" t="s">
        <v>27</v>
      </c>
      <c r="E151" s="77"/>
      <c r="F151" s="71"/>
      <c r="T151" s="63"/>
      <c r="U151" s="5"/>
      <c r="W151" s="5"/>
      <c r="X151" s="17"/>
      <c r="Y151" s="8"/>
      <c r="AC151" s="18"/>
    </row>
    <row r="152" spans="1:47">
      <c r="A152" s="19" t="s">
        <v>284</v>
      </c>
      <c r="B152" s="19" t="s">
        <v>287</v>
      </c>
      <c r="C152" s="19"/>
      <c r="D152" s="19" t="s">
        <v>61</v>
      </c>
      <c r="E152" s="77"/>
      <c r="F152" s="71"/>
      <c r="G152" s="2" t="str">
        <f>HYPERLINK(CONCATENATE(TabelleURL!$B$1,"332_ADIF/332DC01.pdf"), "332DC01")</f>
        <v>332DC01</v>
      </c>
      <c r="M152" s="9"/>
      <c r="P152" s="5" t="str">
        <f>HYPERLINK(CONCATENATE(TabelleURL!$B$1,"345_Signalbox/3450281-W.pdf"), "3450281-W")</f>
        <v>3450281-W</v>
      </c>
      <c r="T152" s="63"/>
      <c r="U152" s="5"/>
      <c r="W152" s="5"/>
      <c r="X152" s="17"/>
      <c r="Y152" s="8"/>
      <c r="AB152" s="2" t="s">
        <v>127</v>
      </c>
      <c r="AC152" s="18"/>
    </row>
    <row r="153" spans="1:47">
      <c r="A153" s="19" t="s">
        <v>284</v>
      </c>
      <c r="B153" s="19" t="s">
        <v>288</v>
      </c>
      <c r="C153" s="19"/>
      <c r="D153" s="19" t="s">
        <v>19</v>
      </c>
      <c r="E153" s="77"/>
      <c r="F153" s="71" t="s">
        <v>273</v>
      </c>
      <c r="T153" s="63"/>
      <c r="U153" s="5"/>
      <c r="W153" s="5"/>
      <c r="X153" s="17"/>
      <c r="Y153" s="8"/>
      <c r="AC153" s="18"/>
    </row>
    <row r="154" spans="1:47">
      <c r="A154" s="19" t="s">
        <v>289</v>
      </c>
      <c r="B154" s="19" t="s">
        <v>290</v>
      </c>
      <c r="C154" s="19"/>
      <c r="D154" s="19" t="s">
        <v>19</v>
      </c>
      <c r="E154" s="77"/>
      <c r="F154" s="71"/>
      <c r="R154" s="66" t="s">
        <v>221</v>
      </c>
      <c r="S154" s="67" t="str">
        <f>HYPERLINK(CONCATENATE(TabelleURL!$B$1,"344_URI2/3444770.pdf"), "B-3444770")</f>
        <v>B-3444770</v>
      </c>
      <c r="T154" s="63"/>
      <c r="U154" s="5"/>
      <c r="W154" s="5"/>
      <c r="X154" s="17"/>
      <c r="Y154" s="8"/>
      <c r="AC154" s="18"/>
    </row>
    <row r="155" spans="1:47">
      <c r="A155" s="19" t="s">
        <v>291</v>
      </c>
      <c r="B155" s="19" t="s">
        <v>292</v>
      </c>
      <c r="C155" s="19"/>
      <c r="D155" s="19" t="s">
        <v>8</v>
      </c>
      <c r="E155" s="77"/>
      <c r="F155" s="71"/>
      <c r="G155" s="2" t="str">
        <f>HYPERLINK(CONCATENATE(TabelleURL!$B$1,"342_ADIF/342DH01.pdf"), "332DH01/0")</f>
        <v>332DH01/0</v>
      </c>
      <c r="T155" s="63"/>
      <c r="U155" s="5"/>
      <c r="W155" s="5"/>
      <c r="X155" s="17"/>
      <c r="Y155" s="8"/>
      <c r="AC155" s="18"/>
    </row>
    <row r="156" spans="1:47">
      <c r="A156" s="19" t="s">
        <v>291</v>
      </c>
      <c r="B156" s="19" t="s">
        <v>293</v>
      </c>
      <c r="C156" s="19" t="s">
        <v>225</v>
      </c>
      <c r="D156" s="19" t="s">
        <v>114</v>
      </c>
      <c r="E156" s="77"/>
      <c r="F156" s="71"/>
      <c r="R156" s="66" t="s">
        <v>45</v>
      </c>
      <c r="S156" s="67" t="str">
        <f>HYPERLINK(CONCATENATE(TabelleURL!$B$1,"341_RC_Interface/3414748.pdf"), "B-3414748")</f>
        <v>B-3414748</v>
      </c>
      <c r="T156" s="63"/>
      <c r="U156" s="5"/>
      <c r="W156" s="5" t="s">
        <v>294</v>
      </c>
      <c r="X156" s="17"/>
      <c r="Y156" s="8"/>
      <c r="AC156" s="18"/>
    </row>
    <row r="157" spans="1:47">
      <c r="A157" s="19" t="s">
        <v>295</v>
      </c>
      <c r="B157" s="19" t="s">
        <v>296</v>
      </c>
      <c r="C157" s="19" t="s">
        <v>297</v>
      </c>
      <c r="D157" s="19" t="s">
        <v>298</v>
      </c>
      <c r="E157" s="77" t="s">
        <v>220</v>
      </c>
      <c r="F157" s="71"/>
      <c r="G157" s="2" t="str">
        <f>HYPERLINK(CONCATENATE(TabelleURL!$B$1,"332_ADIF/332GC01KA.pdf"), "332GC01KA")</f>
        <v>332GC01KA</v>
      </c>
      <c r="M157" s="5" t="str">
        <f>HYPERLINK(CONCATENATE(TabelleURL!$B$1,"345_Signalbox/3450291.pdf"), "3450291")</f>
        <v>3450291</v>
      </c>
      <c r="P157" s="5" t="str">
        <f>HYPERLINK(CONCATENATE(TabelleURL!$B$1,"345_Signalbox/3450291-W.pdf"), "3450291-W")</f>
        <v>3450291-W</v>
      </c>
      <c r="R157" s="66" t="s">
        <v>221</v>
      </c>
      <c r="S157" s="67" t="str">
        <f>HYPERLINK(CONCATENATE(TabelleURL!$B$1,"347_URI/3474780.pdf"), "B-3474780")</f>
        <v>B-3474780</v>
      </c>
      <c r="T157" s="63">
        <v>3474780</v>
      </c>
      <c r="U157" s="5" t="s">
        <v>222</v>
      </c>
      <c r="W157" s="5"/>
      <c r="X157" s="17"/>
      <c r="Y157" s="8"/>
      <c r="AC157" s="18"/>
      <c r="AF157" s="8" t="str">
        <f>HYPERLINK(CONCATENATE(TabelleURL!$B$1,"340_Helfer/3404700.pdf"), "B-3404700")</f>
        <v>B-3404700</v>
      </c>
      <c r="AL157" s="3" t="s">
        <v>7</v>
      </c>
    </row>
    <row r="158" spans="1:47">
      <c r="A158" s="19" t="s">
        <v>295</v>
      </c>
      <c r="B158" s="19" t="s">
        <v>296</v>
      </c>
      <c r="C158" s="19" t="s">
        <v>297</v>
      </c>
      <c r="D158" s="19" t="s">
        <v>298</v>
      </c>
      <c r="E158" s="77" t="s">
        <v>223</v>
      </c>
      <c r="F158" s="71"/>
      <c r="G158" s="2" t="str">
        <f>HYPERLINK(CONCATENATE(TabelleURL!$B$1,"332_ADIF/332GC01KA.pdf"), "332GC01KA")</f>
        <v>332GC01KA</v>
      </c>
      <c r="M158" s="5" t="str">
        <f>HYPERLINK(CONCATENATE(TabelleURL!$B$1,"345_Signalbox/3450291.pdf"), "3450291")</f>
        <v>3450291</v>
      </c>
      <c r="P158" s="5" t="str">
        <f>HYPERLINK(CONCATENATE(TabelleURL!$B$1,"345_Signalbox/3450291-W.pdf"), "3450291-W")</f>
        <v>3450291-W</v>
      </c>
      <c r="R158" s="66" t="s">
        <v>221</v>
      </c>
      <c r="S158" s="67" t="str">
        <f>HYPERLINK(CONCATENATE(TabelleURL!$B$1,"347_URI/3474780.pdf"), "B-3474781")</f>
        <v>B-3474781</v>
      </c>
      <c r="T158" s="63">
        <v>3474780</v>
      </c>
      <c r="U158" s="5" t="s">
        <v>224</v>
      </c>
      <c r="W158" s="5"/>
      <c r="X158" s="17"/>
      <c r="Y158" s="8"/>
      <c r="AC158" s="18"/>
      <c r="AF158" s="8" t="str">
        <f>HYPERLINK(CONCATENATE(TabelleURL!$B$1,"340_Helfer/3404700.pdf"), "B-3404700")</f>
        <v>B-3404700</v>
      </c>
      <c r="AL158" s="3" t="s">
        <v>7</v>
      </c>
    </row>
    <row r="159" spans="1:47">
      <c r="A159" s="19" t="s">
        <v>295</v>
      </c>
      <c r="B159" s="19" t="s">
        <v>299</v>
      </c>
      <c r="C159" s="19"/>
      <c r="D159" s="19" t="s">
        <v>210</v>
      </c>
      <c r="E159" s="77" t="s">
        <v>220</v>
      </c>
      <c r="F159" s="71"/>
      <c r="G159" s="2" t="str">
        <f>HYPERLINK(CONCATENATE(TabelleURL!$B$1,"332_ADIF/332GC01KA.pdf"), "332GC01KA")</f>
        <v>332GC01KA</v>
      </c>
      <c r="R159" s="66" t="s">
        <v>221</v>
      </c>
      <c r="S159" s="67" t="str">
        <f>HYPERLINK(CONCATENATE(TabelleURL!$B$1,"347_URI/3474780.pdf"), "B-3474780")</f>
        <v>B-3474780</v>
      </c>
      <c r="T159" s="63">
        <v>3474780</v>
      </c>
      <c r="U159" s="5" t="s">
        <v>222</v>
      </c>
      <c r="W159" s="5"/>
      <c r="X159" s="17"/>
      <c r="Y159" s="8"/>
      <c r="AC159" s="18"/>
      <c r="AF159" s="8" t="str">
        <f>HYPERLINK(CONCATENATE(TabelleURL!$B$1,"340_Helfer/3404700.pdf"), "B-3404700")</f>
        <v>B-3404700</v>
      </c>
      <c r="AL159" s="3" t="s">
        <v>7</v>
      </c>
    </row>
    <row r="160" spans="1:47">
      <c r="A160" s="19" t="s">
        <v>295</v>
      </c>
      <c r="B160" s="19" t="s">
        <v>299</v>
      </c>
      <c r="C160" s="19"/>
      <c r="D160" s="19" t="s">
        <v>210</v>
      </c>
      <c r="E160" s="77" t="s">
        <v>223</v>
      </c>
      <c r="F160" s="71"/>
      <c r="G160" s="2" t="str">
        <f>HYPERLINK(CONCATENATE(TabelleURL!$B$1,"332_ADIF/332GC01KA.pdf"), "332GC01KA")</f>
        <v>332GC01KA</v>
      </c>
      <c r="R160" s="66" t="s">
        <v>221</v>
      </c>
      <c r="S160" s="67" t="str">
        <f>HYPERLINK(CONCATENATE(TabelleURL!$B$1,"347_URI/3474780.pdf"), "B-3474781")</f>
        <v>B-3474781</v>
      </c>
      <c r="T160" s="63">
        <v>3474780</v>
      </c>
      <c r="U160" s="5" t="s">
        <v>224</v>
      </c>
      <c r="W160" s="5"/>
      <c r="X160" s="17"/>
      <c r="Y160" s="8"/>
      <c r="AC160" s="18"/>
      <c r="AF160" s="8" t="str">
        <f>HYPERLINK(CONCATENATE(TabelleURL!$B$1,"340_Helfer/3404700.pdf"), "B-3404700")</f>
        <v>B-3404700</v>
      </c>
      <c r="AL160" s="3" t="s">
        <v>7</v>
      </c>
    </row>
    <row r="161" spans="1:47">
      <c r="A161" s="19" t="s">
        <v>295</v>
      </c>
      <c r="B161" s="19" t="s">
        <v>300</v>
      </c>
      <c r="C161" s="19" t="s">
        <v>301</v>
      </c>
      <c r="D161" s="19" t="s">
        <v>8</v>
      </c>
      <c r="E161" s="77" t="s">
        <v>220</v>
      </c>
      <c r="F161" s="71"/>
      <c r="G161" s="2" t="str">
        <f>HYPERLINK(CONCATENATE(TabelleURL!$B$1,"32_ADIF/332FI02.pdf"), "332FI02KA")</f>
        <v>332FI02KA</v>
      </c>
      <c r="R161" s="66" t="s">
        <v>221</v>
      </c>
      <c r="S161" s="67" t="str">
        <f>HYPERLINK(CONCATENATE(TabelleURL!$B$1,"347_URI/3474780.pdf"), "B-3474780")</f>
        <v>B-3474780</v>
      </c>
      <c r="T161" s="63">
        <v>3474780</v>
      </c>
      <c r="U161" s="5" t="s">
        <v>222</v>
      </c>
      <c r="W161" s="5"/>
      <c r="X161" s="17"/>
      <c r="Y161" s="8"/>
      <c r="AC161" s="18"/>
    </row>
    <row r="162" spans="1:47">
      <c r="A162" s="19" t="s">
        <v>295</v>
      </c>
      <c r="B162" s="19" t="s">
        <v>300</v>
      </c>
      <c r="C162" s="19" t="s">
        <v>301</v>
      </c>
      <c r="D162" s="19" t="s">
        <v>8</v>
      </c>
      <c r="E162" s="77" t="s">
        <v>223</v>
      </c>
      <c r="F162" s="71"/>
      <c r="G162" s="2" t="str">
        <f>HYPERLINK(CONCATENATE(TabelleURL!$B$1,"32_ADIF/332FI02.pdf"), "332FI02KA")</f>
        <v>332FI02KA</v>
      </c>
      <c r="R162" s="66" t="s">
        <v>221</v>
      </c>
      <c r="S162" s="67" t="str">
        <f>HYPERLINK(CONCATENATE(TabelleURL!$B$1,"347_URI/3474780.pdf"), "B-3474781")</f>
        <v>B-3474781</v>
      </c>
      <c r="T162" s="63">
        <v>3474780</v>
      </c>
      <c r="U162" s="5" t="s">
        <v>224</v>
      </c>
      <c r="W162" s="5"/>
      <c r="X162" s="17"/>
      <c r="Y162" s="8"/>
      <c r="AC162" s="18"/>
    </row>
    <row r="163" spans="1:47">
      <c r="A163" s="19" t="s">
        <v>295</v>
      </c>
      <c r="B163" s="19" t="s">
        <v>300</v>
      </c>
      <c r="C163" s="19" t="s">
        <v>302</v>
      </c>
      <c r="D163" s="19" t="s">
        <v>27</v>
      </c>
      <c r="E163" s="77" t="s">
        <v>220</v>
      </c>
      <c r="F163" s="71"/>
      <c r="G163" s="2" t="str">
        <f>HYPERLINK(CONCATENATE(TabelleURL!$B$1,"32_ADIF/332FI02.pdf"), "332FI02KA")</f>
        <v>332FI02KA</v>
      </c>
      <c r="R163" s="66" t="s">
        <v>221</v>
      </c>
      <c r="S163" s="67" t="str">
        <f>HYPERLINK(CONCATENATE(TabelleURL!$B$1,"347_URI/3474780.pdf"), "B-3474780")</f>
        <v>B-3474780</v>
      </c>
      <c r="T163" s="63">
        <v>3474780</v>
      </c>
      <c r="U163" s="5" t="s">
        <v>222</v>
      </c>
      <c r="W163" s="5"/>
      <c r="X163" s="17"/>
      <c r="Y163" s="8"/>
      <c r="AC163" s="18"/>
    </row>
    <row r="164" spans="1:47">
      <c r="A164" s="19" t="s">
        <v>295</v>
      </c>
      <c r="B164" s="19" t="s">
        <v>300</v>
      </c>
      <c r="C164" s="19" t="s">
        <v>302</v>
      </c>
      <c r="D164" s="19" t="s">
        <v>27</v>
      </c>
      <c r="E164" s="77" t="s">
        <v>223</v>
      </c>
      <c r="F164" s="71"/>
      <c r="G164" s="2" t="str">
        <f>HYPERLINK(CONCATENATE(TabelleURL!$B$1,"32_ADIF/332FI02.pdf"), "332FI02KA")</f>
        <v>332FI02KA</v>
      </c>
      <c r="R164" s="66" t="s">
        <v>221</v>
      </c>
      <c r="S164" s="67" t="str">
        <f>HYPERLINK(CONCATENATE(TabelleURL!$B$1,"347_URI/3474780.pdf"), "B-3474781")</f>
        <v>B-3474781</v>
      </c>
      <c r="T164" s="63">
        <v>3474780</v>
      </c>
      <c r="U164" s="5" t="s">
        <v>224</v>
      </c>
      <c r="W164" s="5"/>
      <c r="X164" s="17"/>
      <c r="Y164" s="8"/>
      <c r="AC164" s="18"/>
    </row>
    <row r="165" spans="1:47">
      <c r="A165" s="19" t="s">
        <v>295</v>
      </c>
      <c r="B165" s="19" t="s">
        <v>303</v>
      </c>
      <c r="C165" s="19"/>
      <c r="D165" s="19" t="s">
        <v>29</v>
      </c>
      <c r="E165" s="77"/>
      <c r="F165" s="71"/>
      <c r="T165" s="63"/>
      <c r="U165" s="5"/>
      <c r="W165" s="5"/>
      <c r="X165" s="17"/>
      <c r="Y165" s="8"/>
      <c r="AC165" s="18"/>
      <c r="AI165" s="5" t="str">
        <f>HYPERLINK(CONCATENATE(TabelleURL!$B$1,"3499_Taxi/34990060.pdf"), "34990060")</f>
        <v>34990060</v>
      </c>
    </row>
    <row r="166" spans="1:47">
      <c r="A166" s="19" t="s">
        <v>295</v>
      </c>
      <c r="B166" s="19" t="s">
        <v>304</v>
      </c>
      <c r="C166" s="19" t="s">
        <v>258</v>
      </c>
      <c r="D166" s="19" t="s">
        <v>201</v>
      </c>
      <c r="E166" s="77"/>
      <c r="F166" s="71"/>
      <c r="G166" s="2" t="str">
        <f>HYPERLINK(CONCATENATE(TabelleURL!$B$1,"332_ADIF/332GC01KA.pdf"), "332GC01KA")</f>
        <v>332GC01KA</v>
      </c>
      <c r="M166" s="5" t="str">
        <f>HYPERLINK(CONCATENATE(TabelleURL!$B$1,"345_Signalbox/3450291.pdf"), "3450291")</f>
        <v>3450291</v>
      </c>
      <c r="P166" s="5" t="str">
        <f>HYPERLINK(CONCATENATE(TabelleURL!$B$1,"345_Signalbox/3450291-W.pdf"), "3450291-W")</f>
        <v>3450291-W</v>
      </c>
      <c r="T166" s="63"/>
      <c r="U166" s="5"/>
      <c r="W166" s="5"/>
      <c r="X166" s="17"/>
      <c r="Y166" s="8"/>
      <c r="AC166" s="18"/>
      <c r="AF166" s="8" t="str">
        <f>HYPERLINK(CONCATENATE(TabelleURL!$B$1,"340_Helfer/3404700.pdf"), "B-3404700")</f>
        <v>B-3404700</v>
      </c>
      <c r="AL166" s="3" t="s">
        <v>7</v>
      </c>
    </row>
    <row r="167" spans="1:47">
      <c r="A167" s="19" t="s">
        <v>295</v>
      </c>
      <c r="B167" s="19" t="s">
        <v>304</v>
      </c>
      <c r="C167" s="19" t="s">
        <v>305</v>
      </c>
      <c r="D167" s="19" t="s">
        <v>213</v>
      </c>
      <c r="E167" s="77" t="s">
        <v>220</v>
      </c>
      <c r="F167" s="71"/>
      <c r="G167" s="2" t="str">
        <f>HYPERLINK(CONCATENATE(TabelleURL!$B$1,"332_ADIF/332GC01KA.pdf"), "332GC01KA")</f>
        <v>332GC01KA</v>
      </c>
      <c r="M167" s="5" t="str">
        <f>HYPERLINK(CONCATENATE(TabelleURL!$B$1,"345_Signalbox/3450291.pdf"), "3450291")</f>
        <v>3450291</v>
      </c>
      <c r="P167" s="5" t="str">
        <f>HYPERLINK(CONCATENATE(TabelleURL!$B$1,"345_Signalbox/3450291-W.pdf"), "3450291-W")</f>
        <v>3450291-W</v>
      </c>
      <c r="R167" s="66" t="s">
        <v>221</v>
      </c>
      <c r="S167" s="67" t="str">
        <f>HYPERLINK(CONCATENATE(TabelleURL!$B$1,"347_URI/3474780.pdf"), "B-3474780")</f>
        <v>B-3474780</v>
      </c>
      <c r="T167" s="63">
        <v>3474780</v>
      </c>
      <c r="U167" s="5" t="s">
        <v>224</v>
      </c>
      <c r="W167" s="5"/>
      <c r="X167" s="17"/>
      <c r="Y167" s="8"/>
      <c r="AC167" s="18"/>
      <c r="AF167" s="8" t="str">
        <f>HYPERLINK(CONCATENATE(TabelleURL!$B$1,"340_Helfer/3404700.pdf"), "B-3404700")</f>
        <v>B-3404700</v>
      </c>
      <c r="AL167" s="3" t="s">
        <v>7</v>
      </c>
    </row>
    <row r="168" spans="1:47">
      <c r="A168" s="19" t="s">
        <v>306</v>
      </c>
      <c r="B168" s="19" t="s">
        <v>307</v>
      </c>
      <c r="C168" s="19" t="s">
        <v>308</v>
      </c>
      <c r="D168" s="19" t="s">
        <v>251</v>
      </c>
      <c r="E168" s="77"/>
      <c r="F168" s="71"/>
      <c r="G168" s="2" t="str">
        <f>HYPERLINK(CONCATENATE(TabelleURL!$B$1,"332_ADIF/332FI01.pdf"), "332FI01")</f>
        <v>332FI01</v>
      </c>
      <c r="I168" s="2" t="str">
        <f>HYPERLINK(CONCATENATE(TabelleURL!$B$1,"342_ADIF/342FI01ZI.pdf"), "342FI01/0/ZI")</f>
        <v>342FI01/0/ZI</v>
      </c>
      <c r="M168" s="5" t="str">
        <f>HYPERLINK(CONCATENATE(TabelleURL!$B$1,"345_Signalbox/3450257.pdf"), "3450257")</f>
        <v>3450257</v>
      </c>
      <c r="R168" s="66" t="s">
        <v>11</v>
      </c>
      <c r="S168" s="67" t="str">
        <f>HYPERLINK(CONCATENATE(TabelleURL!$B$1,"347_URI/3474761.pdf"), "B-3474761")</f>
        <v>B-3474761</v>
      </c>
      <c r="T168" s="63">
        <v>3474761</v>
      </c>
      <c r="U168" s="5" t="s">
        <v>17</v>
      </c>
      <c r="W168" s="5"/>
      <c r="X168" s="17"/>
      <c r="Y168" s="8"/>
      <c r="AC168" s="18"/>
      <c r="AF168" s="8" t="str">
        <f>HYPERLINK(CONCATENATE(TabelleURL!$B$1,"340_Helfer/3404700.pdf"), "B-3404700")</f>
        <v>B-3404700</v>
      </c>
      <c r="AG168" s="2" t="str">
        <f>HYPERLINK(CONCATENATE(TabelleURL!$B$1,"340_Helfer/3404701.pdf"), "3404701")</f>
        <v>3404701</v>
      </c>
      <c r="AH168" s="4" t="str">
        <f>HYPERLINK(CONCATENATE(TabelleURL!$B$1,"346_CAN2com/3475864.pdf"), "3475864")</f>
        <v>3475864</v>
      </c>
      <c r="AL168" s="3" t="s">
        <v>7</v>
      </c>
      <c r="AN168" s="2" t="str">
        <f>HYPERLINK(CONCATENATE(TabelleURL!$B$1,"350_RICI_PDC_OBI/3500031 OBI Alfa BMW Fiat Merc Opel VW D_E.pdf"), "3500031")</f>
        <v>3500031</v>
      </c>
      <c r="AP168" s="2" t="str">
        <f>HYPERLINK(CONCATENATE(TabelleURL!$B$1,"367/3674700.pdf"), "3674700")</f>
        <v>3674700</v>
      </c>
      <c r="AU168" s="10"/>
    </row>
    <row r="169" spans="1:47">
      <c r="A169" s="19" t="s">
        <v>306</v>
      </c>
      <c r="B169" s="19" t="s">
        <v>307</v>
      </c>
      <c r="C169" s="19" t="s">
        <v>308</v>
      </c>
      <c r="D169" s="19" t="s">
        <v>251</v>
      </c>
      <c r="E169" s="77" t="s">
        <v>309</v>
      </c>
      <c r="F169" s="71"/>
      <c r="G169" s="2" t="str">
        <f>HYPERLINK(CONCATENATE(TabelleURL!$B$1,"332_ADIF/332FI01.pdf"), "332FI01")</f>
        <v>332FI01</v>
      </c>
      <c r="I169" s="2" t="str">
        <f>HYPERLINK(CONCATENATE(TabelleURL!$B$1,"342_ADIF/342FI01ZI.pdf"), "342FI01/0/ZI")</f>
        <v>342FI01/0/ZI</v>
      </c>
      <c r="M169" s="5" t="str">
        <f>HYPERLINK(CONCATENATE(TabelleURL!$B$1,"345_Signalbox/3450257.pdf"), "3450257")</f>
        <v>3450257</v>
      </c>
      <c r="R169" s="66" t="s">
        <v>16</v>
      </c>
      <c r="S169" s="67" t="str">
        <f>HYPERLINK(CONCATENATE(TabelleURL!$B$1,"347_URI/3474761.pdf"), "B-3474766")</f>
        <v>B-3474766</v>
      </c>
      <c r="T169" s="63">
        <v>3474761</v>
      </c>
      <c r="U169" s="5" t="s">
        <v>17</v>
      </c>
      <c r="W169" s="5"/>
      <c r="X169" s="17"/>
      <c r="Y169" s="8"/>
      <c r="AB169" s="2" t="s">
        <v>127</v>
      </c>
      <c r="AC169" s="18"/>
      <c r="AF169" s="8" t="str">
        <f>HYPERLINK(CONCATENATE(TabelleURL!$B$1,"340_Helfer/3404700.pdf"), "B-3404700")</f>
        <v>B-3404700</v>
      </c>
      <c r="AG169" s="2" t="str">
        <f>HYPERLINK(CONCATENATE(TabelleURL!$B$1,"340_Helfer/3404701.pdf"), "3404701")</f>
        <v>3404701</v>
      </c>
      <c r="AH169" s="4" t="str">
        <f>HYPERLINK(CONCATENATE(TabelleURL!$B$1,"346_CAN2com/3475864.pdf"), "3475864")</f>
        <v>3475864</v>
      </c>
      <c r="AL169" s="3" t="s">
        <v>7</v>
      </c>
      <c r="AN169" s="2" t="str">
        <f>HYPERLINK(CONCATENATE(TabelleURL!$B$1,"350_RICI_PDC_OBI/3500031 OBI Alfa BMW Fiat Merc Opel VW D_E.pdf"), "3500031")</f>
        <v>3500031</v>
      </c>
      <c r="AP169" s="2" t="str">
        <f>HYPERLINK(CONCATENATE(TabelleURL!$B$1,"367/3674700.pdf"), "3674700")</f>
        <v>3674700</v>
      </c>
      <c r="AU169" s="10"/>
    </row>
    <row r="170" spans="1:47">
      <c r="A170" s="19" t="s">
        <v>306</v>
      </c>
      <c r="B170" s="19" t="s">
        <v>310</v>
      </c>
      <c r="C170" s="19"/>
      <c r="D170" s="19" t="s">
        <v>19</v>
      </c>
      <c r="E170" s="77"/>
      <c r="F170" s="71"/>
      <c r="G170" s="2" t="str">
        <f>HYPERLINK(CONCATENATE(TabelleURL!$B$1,"332_ADIF/332FI01.pdf"), "332FI01")</f>
        <v>332FI01</v>
      </c>
      <c r="I170" s="2" t="str">
        <f>HYPERLINK(CONCATENATE(TabelleURL!$B$1,"342_ADIF/342FI01ZI.pdf"), "342FI01/0/ZI")</f>
        <v>342FI01/0/ZI</v>
      </c>
      <c r="M170" s="5" t="str">
        <f>HYPERLINK(CONCATENATE(TabelleURL!$B$1,"345_Signalbox/3450257.pdf"), "3450257")</f>
        <v>3450257</v>
      </c>
      <c r="T170" s="63"/>
      <c r="U170" s="5"/>
      <c r="W170" s="5"/>
      <c r="X170" s="17"/>
      <c r="Y170" s="8"/>
      <c r="AB170" s="2" t="s">
        <v>127</v>
      </c>
      <c r="AC170" s="18"/>
      <c r="AG170" s="2" t="str">
        <f>HYPERLINK(CONCATENATE(TabelleURL!$B$1,"340_Helfer/3404701.pdf"), "3404701")</f>
        <v>3404701</v>
      </c>
      <c r="AH170" s="4" t="str">
        <f>HYPERLINK(CONCATENATE(TabelleURL!$B$1,"346_CAN2com/3475864.pdf"), "3475864")</f>
        <v>3475864</v>
      </c>
      <c r="AP170" s="2" t="str">
        <f>HYPERLINK(CONCATENATE(TabelleURL!$B$1,"367/3674700.pdf"), "3674700")</f>
        <v>3674700</v>
      </c>
      <c r="AU170" s="10"/>
    </row>
    <row r="171" spans="1:47">
      <c r="A171" s="19" t="s">
        <v>306</v>
      </c>
      <c r="B171" s="19" t="s">
        <v>311</v>
      </c>
      <c r="C171" s="19"/>
      <c r="D171" s="19" t="s">
        <v>116</v>
      </c>
      <c r="E171" s="77"/>
      <c r="F171" s="71"/>
      <c r="G171" s="2" t="str">
        <f>HYPERLINK(CONCATENATE(TabelleURL!$B$1,"332_ADIF/332FI01.pdf"), "332FI01")</f>
        <v>332FI01</v>
      </c>
      <c r="I171" s="2" t="str">
        <f>HYPERLINK(CONCATENATE(TabelleURL!$B$1,"342_ADIF/342FI01ZI.pdf"), "342FI01/0/ZI")</f>
        <v>342FI01/0/ZI</v>
      </c>
      <c r="M171" s="5" t="str">
        <f>HYPERLINK(CONCATENATE(TabelleURL!$B$1,"345_Signalbox/3450257.pdf"), "3450257")</f>
        <v>3450257</v>
      </c>
      <c r="T171" s="63"/>
      <c r="U171" s="5"/>
      <c r="W171" s="5"/>
      <c r="X171" s="17"/>
      <c r="Y171" s="8"/>
      <c r="AC171" s="18"/>
      <c r="AG171" s="2" t="str">
        <f>HYPERLINK(CONCATENATE(TabelleURL!$B$1,"340_Helfer/3404701.pdf"), "3404701")</f>
        <v>3404701</v>
      </c>
      <c r="AH171" s="4" t="str">
        <f>HYPERLINK(CONCATENATE(TabelleURL!$B$1,"346_CAN2com/3475864.pdf"), "3475864")</f>
        <v>3475864</v>
      </c>
      <c r="AP171" s="2" t="str">
        <f>HYPERLINK(CONCATENATE(TabelleURL!$B$1,"367/3674700.pdf"), "3674700")</f>
        <v>3674700</v>
      </c>
      <c r="AU171" s="10"/>
    </row>
    <row r="172" spans="1:47">
      <c r="A172" s="19" t="s">
        <v>306</v>
      </c>
      <c r="B172" s="19" t="s">
        <v>312</v>
      </c>
      <c r="C172" s="19" t="s">
        <v>313</v>
      </c>
      <c r="D172" s="19" t="s">
        <v>251</v>
      </c>
      <c r="E172" s="77"/>
      <c r="F172" s="71"/>
      <c r="G172" s="2" t="str">
        <f>HYPERLINK(CONCATENATE(TabelleURL!$B$1,"332_ADIF/332FI01.pdf"), "332FI01")</f>
        <v>332FI01</v>
      </c>
      <c r="I172" s="2" t="str">
        <f>HYPERLINK(CONCATENATE(TabelleURL!$B$1,"342_ADIF/342FI01ZI.pdf"), "342FI01/0/ZI")</f>
        <v>342FI01/0/ZI</v>
      </c>
      <c r="M172" s="5" t="str">
        <f>HYPERLINK(CONCATENATE(TabelleURL!$B$1,"345_Signalbox/3450257.pdf"), "3450257")</f>
        <v>3450257</v>
      </c>
      <c r="R172" s="66" t="s">
        <v>11</v>
      </c>
      <c r="S172" s="67" t="str">
        <f>HYPERLINK(CONCATENATE(TabelleURL!$B$1,"347_URI/3474761.pdf"), "B-3474761")</f>
        <v>B-3474761</v>
      </c>
      <c r="T172" s="63">
        <v>3474761</v>
      </c>
      <c r="U172" s="5" t="s">
        <v>17</v>
      </c>
      <c r="W172" s="5"/>
      <c r="X172" s="17"/>
      <c r="Y172" s="8"/>
      <c r="AC172" s="18"/>
      <c r="AF172" s="8" t="str">
        <f>HYPERLINK(CONCATENATE(TabelleURL!$B$1,"340_Helfer/3404700.pdf"), "B-3404700")</f>
        <v>B-3404700</v>
      </c>
      <c r="AG172" s="2" t="str">
        <f>HYPERLINK(CONCATENATE(TabelleURL!$B$1,"340_Helfer/3404701.pdf"), "3404701")</f>
        <v>3404701</v>
      </c>
      <c r="AL172" s="3" t="s">
        <v>7</v>
      </c>
      <c r="AN172" s="2" t="str">
        <f>HYPERLINK(CONCATENATE(TabelleURL!$B$1,"350_RICI_PDC_OBI/3500031 OBI Alfa BMW Fiat Merc Opel VW D_E.pdf"), "3500031")</f>
        <v>3500031</v>
      </c>
      <c r="AP172" s="2" t="str">
        <f>HYPERLINK(CONCATENATE(TabelleURL!$B$1,"367/3674700.pdf"), "3674700")</f>
        <v>3674700</v>
      </c>
      <c r="AU172" s="10"/>
    </row>
    <row r="173" spans="1:47">
      <c r="A173" s="19" t="s">
        <v>306</v>
      </c>
      <c r="B173" s="19" t="s">
        <v>312</v>
      </c>
      <c r="C173" s="19" t="s">
        <v>313</v>
      </c>
      <c r="D173" s="19" t="s">
        <v>251</v>
      </c>
      <c r="E173" s="77" t="s">
        <v>309</v>
      </c>
      <c r="F173" s="71"/>
      <c r="G173" s="2" t="str">
        <f>HYPERLINK(CONCATENATE(TabelleURL!$B$1,"332_ADIF/332FI01.pdf"), "332FI01")</f>
        <v>332FI01</v>
      </c>
      <c r="I173" s="2" t="str">
        <f>HYPERLINK(CONCATENATE(TabelleURL!$B$1,"342_ADIF/342FI01ZI.pdf"), "342FI01/0/ZI")</f>
        <v>342FI01/0/ZI</v>
      </c>
      <c r="M173" s="5" t="str">
        <f>HYPERLINK(CONCATENATE(TabelleURL!$B$1,"345_Signalbox/3450257.pdf"), "3450257")</f>
        <v>3450257</v>
      </c>
      <c r="R173" s="66" t="s">
        <v>16</v>
      </c>
      <c r="S173" s="67" t="str">
        <f>HYPERLINK(CONCATENATE(TabelleURL!$B$1,"347_URI/3474761.pdf"), "B-3474766")</f>
        <v>B-3474766</v>
      </c>
      <c r="T173" s="63">
        <v>3474761</v>
      </c>
      <c r="U173" s="5" t="s">
        <v>17</v>
      </c>
      <c r="W173" s="5"/>
      <c r="X173" s="17"/>
      <c r="Y173" s="8"/>
      <c r="AC173" s="18"/>
      <c r="AF173" s="8" t="str">
        <f>HYPERLINK(CONCATENATE(TabelleURL!$B$1,"340_Helfer/3404700.pdf"), "B-3404700")</f>
        <v>B-3404700</v>
      </c>
      <c r="AG173" s="2" t="str">
        <f>HYPERLINK(CONCATENATE(TabelleURL!$B$1,"340_Helfer/3404701.pdf"), "3404701")</f>
        <v>3404701</v>
      </c>
      <c r="AL173" s="3" t="s">
        <v>7</v>
      </c>
      <c r="AN173" s="2" t="str">
        <f>HYPERLINK(CONCATENATE(TabelleURL!$B$1,"350_RICI_PDC_OBI/3500031 OBI Alfa BMW Fiat Merc Opel VW D_E.pdf"), "3500031")</f>
        <v>3500031</v>
      </c>
      <c r="AP173" s="2" t="str">
        <f>HYPERLINK(CONCATENATE(TabelleURL!$B$1,"367/3674700.pdf"), "3674700")</f>
        <v>3674700</v>
      </c>
      <c r="AU173" s="10"/>
    </row>
    <row r="174" spans="1:47">
      <c r="A174" s="19" t="s">
        <v>306</v>
      </c>
      <c r="B174" s="19" t="s">
        <v>314</v>
      </c>
      <c r="C174" s="19" t="s">
        <v>315</v>
      </c>
      <c r="D174" s="19" t="s">
        <v>21</v>
      </c>
      <c r="E174" s="77"/>
      <c r="F174" s="71"/>
      <c r="G174" s="2" t="str">
        <f>HYPERLINK(CONCATENATE(TabelleURL!$B$1,"332_ADIF/332FI01.pdf"), "332FI01")</f>
        <v>332FI01</v>
      </c>
      <c r="I174" s="2" t="str">
        <f>HYPERLINK(CONCATENATE(TabelleURL!$B$1,"342_ADIF/342FI01ZI.pdf"), "342FI01/0/ZI")</f>
        <v>342FI01/0/ZI</v>
      </c>
      <c r="M174" s="5" t="str">
        <f>HYPERLINK(CONCATENATE(TabelleURL!$B$1,"345_Signalbox/3450257.pdf"), "3450257")</f>
        <v>3450257</v>
      </c>
      <c r="R174" s="66" t="s">
        <v>11</v>
      </c>
      <c r="S174" s="67" t="str">
        <f>HYPERLINK(CONCATENATE(TabelleURL!$B$1,"347_URI/3474761.pdf"), "B-3474761")</f>
        <v>B-3474761</v>
      </c>
      <c r="T174" s="63">
        <v>3474761</v>
      </c>
      <c r="U174" s="5" t="s">
        <v>12</v>
      </c>
      <c r="W174" s="5"/>
      <c r="X174" s="17"/>
      <c r="Y174" s="8"/>
      <c r="AC174" s="18"/>
      <c r="AF174" s="8" t="str">
        <f>HYPERLINK(CONCATENATE(TabelleURL!$B$1,"340_Helfer/3404700.pdf"), "B-3404700")</f>
        <v>B-3404700</v>
      </c>
      <c r="AG174" s="2" t="str">
        <f>HYPERLINK(CONCATENATE(TabelleURL!$B$1,"340_Helfer/3404701.pdf"), "3404701")</f>
        <v>3404701</v>
      </c>
      <c r="AL174" s="3" t="s">
        <v>7</v>
      </c>
      <c r="AN174" s="2" t="str">
        <f>HYPERLINK(CONCATENATE(TabelleURL!$B$1,"350_RICI_PDC_OBI/3500031 OBI Alfa BMW Fiat Merc Opel VW D_E.pdf"), "3500031")</f>
        <v>3500031</v>
      </c>
      <c r="AP174" s="2" t="str">
        <f>HYPERLINK(CONCATENATE(TabelleURL!$B$1,"367/3674700.pdf"), "3674700")</f>
        <v>3674700</v>
      </c>
      <c r="AU174" s="10"/>
    </row>
    <row r="175" spans="1:47">
      <c r="A175" s="19" t="s">
        <v>306</v>
      </c>
      <c r="B175" s="19" t="s">
        <v>316</v>
      </c>
      <c r="C175" s="19" t="s">
        <v>317</v>
      </c>
      <c r="D175" s="19" t="s">
        <v>23</v>
      </c>
      <c r="E175" s="77"/>
      <c r="F175" s="71"/>
      <c r="G175" s="2" t="str">
        <f>HYPERLINK(CONCATENATE(TabelleURL!$B$1,"332_ADIF/332FI01.pdf"), "332FI01")</f>
        <v>332FI01</v>
      </c>
      <c r="I175" s="2" t="str">
        <f>HYPERLINK(CONCATENATE(TabelleURL!$B$1,"342_ADIF/342FI01ZI.pdf"), "342FI01/0/ZI")</f>
        <v>342FI01/0/ZI</v>
      </c>
      <c r="M175" s="5" t="str">
        <f>HYPERLINK(CONCATENATE(TabelleURL!$B$1,"345_Signalbox/3450257.pdf"), "3450257")</f>
        <v>3450257</v>
      </c>
      <c r="R175" s="66" t="s">
        <v>11</v>
      </c>
      <c r="S175" s="67" t="str">
        <f>HYPERLINK(CONCATENATE(TabelleURL!$B$1,"347_URI/3474761.pdf"), "B-3474761")</f>
        <v>B-3474761</v>
      </c>
      <c r="T175" s="63">
        <v>3474761</v>
      </c>
      <c r="U175" s="5" t="s">
        <v>12</v>
      </c>
      <c r="W175" s="5"/>
      <c r="X175" s="17"/>
      <c r="Y175" s="8"/>
      <c r="AC175" s="18"/>
      <c r="AF175" s="8" t="str">
        <f>HYPERLINK(CONCATENATE(TabelleURL!$B$1,"340_Helfer/3404700.pdf"), "B-3404700")</f>
        <v>B-3404700</v>
      </c>
      <c r="AG175" s="2" t="str">
        <f>HYPERLINK(CONCATENATE(TabelleURL!$B$1,"340_Helfer/3404701.pdf"), "3404701")</f>
        <v>3404701</v>
      </c>
      <c r="AL175" s="3" t="s">
        <v>7</v>
      </c>
      <c r="AN175" s="2" t="str">
        <f>HYPERLINK(CONCATENATE(TabelleURL!$B$1,"350_RICI_PDC_OBI/3500031 OBI Alfa BMW Fiat Merc Opel VW D_E.pdf"), "3500031")</f>
        <v>3500031</v>
      </c>
      <c r="AP175" s="2" t="str">
        <f>HYPERLINK(CONCATENATE(TabelleURL!$B$1,"367/3674700.pdf"), "3674700")</f>
        <v>3674700</v>
      </c>
      <c r="AU175" s="10"/>
    </row>
    <row r="176" spans="1:47">
      <c r="A176" s="19" t="s">
        <v>306</v>
      </c>
      <c r="B176" s="19" t="s">
        <v>316</v>
      </c>
      <c r="C176" s="19" t="s">
        <v>318</v>
      </c>
      <c r="D176" s="19" t="s">
        <v>27</v>
      </c>
      <c r="E176" s="77"/>
      <c r="F176" s="71"/>
      <c r="G176" s="2" t="str">
        <f>HYPERLINK(CONCATENATE(TabelleURL!$B$1,"332_ADIF/332FI01.pdf"), "332FI01")</f>
        <v>332FI01</v>
      </c>
      <c r="I176" s="2" t="str">
        <f>HYPERLINK(CONCATENATE(TabelleURL!$B$1,"342_ADIF/342FI01ZI.pdf"), "342FI01/0/ZI")</f>
        <v>342FI01/0/ZI</v>
      </c>
      <c r="M176" s="5" t="str">
        <f>HYPERLINK(CONCATENATE(TabelleURL!$B$1,"345_Signalbox/3450257.pdf"), "3450257")</f>
        <v>3450257</v>
      </c>
      <c r="P176" s="5" t="str">
        <f>HYPERLINK(CONCATENATE(TabelleURL!$B$1,"345_Signalbox/3450284-W.pdf"), "3450284-W")</f>
        <v>3450284-W</v>
      </c>
      <c r="R176" s="66" t="s">
        <v>11</v>
      </c>
      <c r="S176" s="67" t="str">
        <f>HYPERLINK(CONCATENATE(TabelleURL!$B$1,"347_URI/3474761.pdf"), "B-3474761")</f>
        <v>B-3474761</v>
      </c>
      <c r="T176" s="63">
        <v>3474761</v>
      </c>
      <c r="U176" s="5" t="s">
        <v>12</v>
      </c>
      <c r="W176" s="5"/>
      <c r="X176" s="17"/>
      <c r="Y176" s="8"/>
      <c r="AC176" s="18"/>
      <c r="AF176" s="8" t="str">
        <f>HYPERLINK(CONCATENATE(TabelleURL!$B$1,"340_Helfer/3404700.pdf"), "B-3404700")</f>
        <v>B-3404700</v>
      </c>
      <c r="AG176" s="2" t="str">
        <f>HYPERLINK(CONCATENATE(TabelleURL!$B$1,"340_Helfer/3404701.pdf"), "3404701")</f>
        <v>3404701</v>
      </c>
      <c r="AH176" s="4" t="str">
        <f>HYPERLINK(CONCATENATE(TabelleURL!$B$1,"346_CAN2com/3475864.pdf"), "3475864")</f>
        <v>3475864</v>
      </c>
      <c r="AL176" s="3" t="s">
        <v>7</v>
      </c>
      <c r="AP176" s="2" t="str">
        <f>HYPERLINK(CONCATENATE(TabelleURL!$B$1,"367/3674700.pdf"), "3674700")</f>
        <v>3674700</v>
      </c>
      <c r="AU176" s="10"/>
    </row>
    <row r="177" spans="1:47">
      <c r="A177" s="19" t="s">
        <v>306</v>
      </c>
      <c r="B177" s="19" t="s">
        <v>316</v>
      </c>
      <c r="C177" s="19" t="s">
        <v>318</v>
      </c>
      <c r="D177" s="19" t="s">
        <v>27</v>
      </c>
      <c r="E177" s="77" t="s">
        <v>15</v>
      </c>
      <c r="F177" s="71"/>
      <c r="G177" s="2" t="str">
        <f>HYPERLINK(CONCATENATE(TabelleURL!$B$1,"332_ADIF/332FI01.pdf"), "332FI01")</f>
        <v>332FI01</v>
      </c>
      <c r="I177" s="2" t="str">
        <f>HYPERLINK(CONCATENATE(TabelleURL!$B$1,"342_ADIF/342FI01ZI.pdf"), "342FI01/0/ZI")</f>
        <v>342FI01/0/ZI</v>
      </c>
      <c r="M177" s="5" t="str">
        <f>HYPERLINK(CONCATENATE(TabelleURL!$B$1,"345_Signalbox/3450257.pdf"), "3450257")</f>
        <v>3450257</v>
      </c>
      <c r="P177" s="5" t="str">
        <f>HYPERLINK(CONCATENATE(TabelleURL!$B$1,"345_Signalbox/3450284-W.pdf"), "3450284-W")</f>
        <v>3450284-W</v>
      </c>
      <c r="R177" s="66" t="s">
        <v>16</v>
      </c>
      <c r="S177" s="67" t="str">
        <f>HYPERLINK(CONCATENATE(TabelleURL!$B$1,"347_URI/3474761.pdf"), "B-3474766")</f>
        <v>B-3474766</v>
      </c>
      <c r="T177" s="63">
        <v>3474761</v>
      </c>
      <c r="U177" s="5" t="s">
        <v>17</v>
      </c>
      <c r="W177" s="5"/>
      <c r="X177" s="17"/>
      <c r="Y177" s="8"/>
      <c r="AC177" s="18"/>
      <c r="AF177" s="8" t="str">
        <f>HYPERLINK(CONCATENATE(TabelleURL!$B$1,"340_Helfer/3404700.pdf"), "B-3404700")</f>
        <v>B-3404700</v>
      </c>
      <c r="AG177" s="2" t="str">
        <f>HYPERLINK(CONCATENATE(TabelleURL!$B$1,"340_Helfer/3404701.pdf"), "3404701")</f>
        <v>3404701</v>
      </c>
      <c r="AH177" s="4" t="str">
        <f>HYPERLINK(CONCATENATE(TabelleURL!$B$1,"346_CAN2com/3475864.pdf"), "3475864")</f>
        <v>3475864</v>
      </c>
      <c r="AL177" s="3" t="s">
        <v>7</v>
      </c>
      <c r="AP177" s="2" t="str">
        <f>HYPERLINK(CONCATENATE(TabelleURL!$B$1,"367/3674700.pdf"), "3674700")</f>
        <v>3674700</v>
      </c>
      <c r="AU177" s="10"/>
    </row>
    <row r="178" spans="1:47">
      <c r="A178" s="19" t="s">
        <v>306</v>
      </c>
      <c r="B178" s="19" t="s">
        <v>319</v>
      </c>
      <c r="C178" s="19" t="s">
        <v>248</v>
      </c>
      <c r="D178" s="19" t="s">
        <v>210</v>
      </c>
      <c r="E178" s="77"/>
      <c r="F178" s="71"/>
      <c r="G178" s="2" t="str">
        <f>HYPERLINK(CONCATENATE(TabelleURL!$B$1,"332_ADIF/332CI02.pdf"), "332CI02KA")</f>
        <v>332CI02KA</v>
      </c>
      <c r="M178" s="5" t="str">
        <f>HYPERLINK(CONCATENATE(TabelleURL!$B$1,"345_Signalbox/3450257.pdf"), "3450257")</f>
        <v>3450257</v>
      </c>
      <c r="R178" s="66" t="s">
        <v>11</v>
      </c>
      <c r="S178" s="67" t="str">
        <f>HYPERLINK(CONCATENATE(TabelleURL!$B$1,"347_URI/3474761.pdf"), "B-3474761")</f>
        <v>B-3474761</v>
      </c>
      <c r="T178" s="63">
        <v>3474761</v>
      </c>
      <c r="U178" s="5" t="s">
        <v>12</v>
      </c>
      <c r="W178" s="5"/>
      <c r="X178" s="17"/>
      <c r="Y178" s="8"/>
      <c r="AA178" s="4">
        <v>3614761</v>
      </c>
      <c r="AC178" s="18"/>
      <c r="AF178" s="8" t="str">
        <f>HYPERLINK(CONCATENATE(TabelleURL!$B$1,"340_Helfer/3404700.pdf"), "B-3404700")</f>
        <v>B-3404700</v>
      </c>
      <c r="AG178" s="2" t="str">
        <f>HYPERLINK(CONCATENATE(TabelleURL!$B$1,"340_Helfer/3404701.pdf"), "3404701")</f>
        <v>3404701</v>
      </c>
      <c r="AI178" s="5" t="str">
        <f>HYPERLINK(CONCATENATE(TabelleURL!$B$1,"3499_Taxi/34990021.pdf"), "34990021")</f>
        <v>34990021</v>
      </c>
      <c r="AL178" s="3" t="s">
        <v>7</v>
      </c>
      <c r="AM178" s="7" t="s">
        <v>279</v>
      </c>
      <c r="AP178" s="2" t="str">
        <f>HYPERLINK(CONCATENATE(TabelleURL!$B$1,"367/3674700.pdf"), "3674700")</f>
        <v>3674700</v>
      </c>
      <c r="AQ178" s="7" t="s">
        <v>320</v>
      </c>
      <c r="AU178" s="10"/>
    </row>
    <row r="179" spans="1:47">
      <c r="A179" s="19" t="s">
        <v>306</v>
      </c>
      <c r="B179" s="19" t="s">
        <v>319</v>
      </c>
      <c r="C179" s="19" t="s">
        <v>248</v>
      </c>
      <c r="D179" s="19" t="s">
        <v>97</v>
      </c>
      <c r="E179" s="77"/>
      <c r="F179" s="71"/>
      <c r="G179" s="2" t="str">
        <f>HYPERLINK(CONCATENATE(TabelleURL!$B$1,"332_ADIF/332CI02.pdf"), "332CI02KA")</f>
        <v>332CI02KA</v>
      </c>
      <c r="M179" s="5" t="str">
        <f>HYPERLINK(CONCATENATE(TabelleURL!$B$1,"345_Signalbox/3450257.pdf"), "3450257")</f>
        <v>3450257</v>
      </c>
      <c r="R179" s="66" t="s">
        <v>11</v>
      </c>
      <c r="S179" s="67" t="str">
        <f>HYPERLINK(CONCATENATE(TabelleURL!$B$1,"347_URI/3474761.pdf"), "B-3474761")</f>
        <v>B-3474761</v>
      </c>
      <c r="T179" s="63">
        <v>3474761</v>
      </c>
      <c r="U179" s="5" t="s">
        <v>12</v>
      </c>
      <c r="W179" s="5"/>
      <c r="X179" s="17"/>
      <c r="Y179" s="8"/>
      <c r="AC179" s="18"/>
      <c r="AF179" s="8" t="str">
        <f>HYPERLINK(CONCATENATE(TabelleURL!$B$1,"340_Helfer/3404700.pdf"), "B-3404700")</f>
        <v>B-3404700</v>
      </c>
      <c r="AG179" s="2" t="str">
        <f>HYPERLINK(CONCATENATE(TabelleURL!$B$1,"340_Helfer/3404701.pdf"), "3404701")</f>
        <v>3404701</v>
      </c>
      <c r="AH179" s="4" t="str">
        <f>HYPERLINK(CONCATENATE(TabelleURL!$B$1,"346_CAN2com/3475864.pdf"), "3475864")</f>
        <v>3475864</v>
      </c>
      <c r="AI179" s="5" t="str">
        <f>HYPERLINK(CONCATENATE(TabelleURL!$B$1,"3499_Taxi/34990021.pdf"), "34990021")</f>
        <v>34990021</v>
      </c>
      <c r="AL179" s="3" t="s">
        <v>7</v>
      </c>
      <c r="AP179" s="2" t="str">
        <f>HYPERLINK(CONCATENATE(TabelleURL!$B$1,"367/3674700.pdf"), "3674700")</f>
        <v>3674700</v>
      </c>
      <c r="AU179" s="10"/>
    </row>
    <row r="180" spans="1:47">
      <c r="A180" s="19" t="s">
        <v>306</v>
      </c>
      <c r="B180" s="19" t="s">
        <v>319</v>
      </c>
      <c r="C180" s="19" t="s">
        <v>248</v>
      </c>
      <c r="D180" s="19" t="s">
        <v>116</v>
      </c>
      <c r="E180" s="77"/>
      <c r="F180" s="71"/>
      <c r="G180" s="2" t="str">
        <f>HYPERLINK(CONCATENATE(TabelleURL!$B$1,"332_ADIF/332CI02.pdf"), "332CI02KA")</f>
        <v>332CI02KA</v>
      </c>
      <c r="M180" s="5" t="str">
        <f>HYPERLINK(CONCATENATE(TabelleURL!$B$1,"345_Signalbox/3450257.pdf"), "3450257")</f>
        <v>3450257</v>
      </c>
      <c r="Q180" s="61" t="str">
        <f>HYPERLINK(CONCATENATE(TabelleURL!$B$1,"345_Signalbox/3450301.pdf"), "3450301")</f>
        <v>3450301</v>
      </c>
      <c r="R180" s="66" t="s">
        <v>11</v>
      </c>
      <c r="S180" s="67" t="str">
        <f>HYPERLINK(CONCATENATE(TabelleURL!$B$1,"347_URI/3474761.pdf"), "B-3474761")</f>
        <v>B-3474761</v>
      </c>
      <c r="T180" s="63">
        <v>3474761</v>
      </c>
      <c r="U180" s="5" t="s">
        <v>12</v>
      </c>
      <c r="W180" s="5"/>
      <c r="X180" s="17"/>
      <c r="Y180" s="8"/>
      <c r="AC180" s="18"/>
      <c r="AF180" s="8" t="str">
        <f>HYPERLINK(CONCATENATE(TabelleURL!$B$1,"340_Helfer/3404700.pdf"), "B-3404700")</f>
        <v>B-3404700</v>
      </c>
      <c r="AG180" s="2" t="str">
        <f>HYPERLINK(CONCATENATE(TabelleURL!$B$1,"340_Helfer/3404701.pdf"), "3404701")</f>
        <v>3404701</v>
      </c>
      <c r="AH180" s="4" t="str">
        <f>HYPERLINK(CONCATENATE(TabelleURL!$B$1,"346_CAN2com/3475864.pdf"), "3475864")</f>
        <v>3475864</v>
      </c>
      <c r="AI180" s="5" t="str">
        <f>HYPERLINK(CONCATENATE(TabelleURL!$B$1,"3499_Taxi/34990021.pdf"), "34990021")</f>
        <v>34990021</v>
      </c>
      <c r="AP180" s="2" t="str">
        <f>HYPERLINK(CONCATENATE(TabelleURL!$B$1,"367/3674700.pdf"), "3674700")</f>
        <v>3674700</v>
      </c>
      <c r="AU180" s="10"/>
    </row>
    <row r="181" spans="1:47">
      <c r="A181" s="19" t="s">
        <v>306</v>
      </c>
      <c r="B181" s="19" t="s">
        <v>319</v>
      </c>
      <c r="C181" s="19" t="s">
        <v>248</v>
      </c>
      <c r="D181" s="19" t="s">
        <v>116</v>
      </c>
      <c r="E181" s="77" t="s">
        <v>321</v>
      </c>
      <c r="F181" s="71"/>
      <c r="Q181" s="61" t="str">
        <f>HYPERLINK(CONCATENATE(TabelleURL!$B$1,"345_Signalbox/3450301.pdf"), "3450301")</f>
        <v>3450301</v>
      </c>
      <c r="R181" s="66" t="s">
        <v>11</v>
      </c>
      <c r="S181" s="67" t="str">
        <f>HYPERLINK(CONCATENATE(TabelleURL!$B$1,"347_URI/3474761.pdf"), "B-3474764")</f>
        <v>B-3474764</v>
      </c>
      <c r="T181" s="63">
        <v>3474761</v>
      </c>
      <c r="U181" s="5" t="s">
        <v>322</v>
      </c>
      <c r="W181" s="5"/>
      <c r="X181" s="17"/>
      <c r="Y181" s="8"/>
      <c r="AC181" s="18"/>
      <c r="AF181" s="8" t="str">
        <f>HYPERLINK(CONCATENATE(TabelleURL!$B$1,"340_Helfer/3404700.pdf"), "B-3404700")</f>
        <v>B-3404700</v>
      </c>
      <c r="AG181" s="2" t="str">
        <f>HYPERLINK(CONCATENATE(TabelleURL!$B$1,"340_Helfer/3404701.pdf"), "3404701")</f>
        <v>3404701</v>
      </c>
      <c r="AH181" s="4" t="str">
        <f>HYPERLINK(CONCATENATE(TabelleURL!$B$1,"346_CAN2com/3475864.pdf"), "3475864")</f>
        <v>3475864</v>
      </c>
      <c r="AI181" s="5" t="str">
        <f>HYPERLINK(CONCATENATE(TabelleURL!$B$1,"3499_Taxi/34990021.pdf"), "34990021")</f>
        <v>34990021</v>
      </c>
      <c r="AP181" s="2" t="str">
        <f>HYPERLINK(CONCATENATE(TabelleURL!$B$1,"367/3674700.pdf"), "3674700")</f>
        <v>3674700</v>
      </c>
      <c r="AU181" s="10"/>
    </row>
    <row r="182" spans="1:47" ht="22.5">
      <c r="A182" s="19" t="s">
        <v>306</v>
      </c>
      <c r="B182" s="19" t="s">
        <v>319</v>
      </c>
      <c r="C182" s="19" t="s">
        <v>248</v>
      </c>
      <c r="D182" s="19" t="s">
        <v>116</v>
      </c>
      <c r="E182" s="77" t="s">
        <v>323</v>
      </c>
      <c r="F182" s="71"/>
      <c r="G182" s="2" t="str">
        <f>HYPERLINK(CONCATENATE(TabelleURL!$B$1,"332_ADIF/332CI02.pdf"), "332CI02KA")</f>
        <v>332CI02KA</v>
      </c>
      <c r="M182" s="5" t="str">
        <f>HYPERLINK(CONCATENATE(TabelleURL!$B$1,"345_Signalbox/3450257.pdf"), "3450257")</f>
        <v>3450257</v>
      </c>
      <c r="Q182" s="61" t="str">
        <f>HYPERLINK(CONCATENATE(TabelleURL!$B$1,"345_Signalbox/3450301.pdf"), "3450301")</f>
        <v>3450301</v>
      </c>
      <c r="R182" s="66" t="s">
        <v>11</v>
      </c>
      <c r="S182" s="67" t="str">
        <f>HYPERLINK(CONCATENATE(TabelleURL!$B$1,"347_URI/3474761.pdf"), "B-3474764-R560")</f>
        <v>B-3474764-R560</v>
      </c>
      <c r="T182" s="63">
        <v>3474761</v>
      </c>
      <c r="U182" s="5" t="s">
        <v>324</v>
      </c>
      <c r="W182" s="5"/>
      <c r="X182" s="17"/>
      <c r="Y182" s="8"/>
      <c r="AC182" s="18"/>
      <c r="AF182" s="8" t="str">
        <f>HYPERLINK(CONCATENATE(TabelleURL!$B$1,"340_Helfer/3404700.pdf"), "B-3404700")</f>
        <v>B-3404700</v>
      </c>
      <c r="AG182" s="2" t="str">
        <f>HYPERLINK(CONCATENATE(TabelleURL!$B$1,"340_Helfer/3404701.pdf"), "3404701")</f>
        <v>3404701</v>
      </c>
      <c r="AH182" s="4" t="str">
        <f>HYPERLINK(CONCATENATE(TabelleURL!$B$1,"346_CAN2com/3475864.pdf"), "3475864")</f>
        <v>3475864</v>
      </c>
      <c r="AI182" s="5" t="str">
        <f>HYPERLINK(CONCATENATE(TabelleURL!$B$1,"3499_Taxi/34990021.pdf"), "34990021")</f>
        <v>34990021</v>
      </c>
      <c r="AP182" s="2" t="str">
        <f>HYPERLINK(CONCATENATE(TabelleURL!$B$1,"367/3674700.pdf"), "3674700")</f>
        <v>3674700</v>
      </c>
      <c r="AU182" s="10"/>
    </row>
    <row r="183" spans="1:47">
      <c r="A183" s="19" t="s">
        <v>306</v>
      </c>
      <c r="B183" s="19" t="s">
        <v>325</v>
      </c>
      <c r="C183" s="19" t="s">
        <v>326</v>
      </c>
      <c r="D183" s="19" t="s">
        <v>29</v>
      </c>
      <c r="E183" s="77"/>
      <c r="F183" s="71"/>
      <c r="G183" s="2" t="str">
        <f>HYPERLINK(CONCATENATE(TabelleURL!$B$1,"332_ADIF/332FI01.pdf"), "332FI01")</f>
        <v>332FI01</v>
      </c>
      <c r="I183" s="2" t="str">
        <f>HYPERLINK(CONCATENATE(TabelleURL!$B$1,"342_ADIF/342FI01ZI.pdf"), "342FI01/0/ZI")</f>
        <v>342FI01/0/ZI</v>
      </c>
      <c r="M183" s="5" t="str">
        <f>HYPERLINK(CONCATENATE(TabelleURL!$B$1,"345_Signalbox/3450257.pdf"), "3450257")</f>
        <v>3450257</v>
      </c>
      <c r="R183" s="66" t="s">
        <v>11</v>
      </c>
      <c r="S183" s="67" t="str">
        <f>HYPERLINK(CONCATENATE(TabelleURL!$B$1,"347_URI/3474761.pdf"), "B-3474761")</f>
        <v>B-3474761</v>
      </c>
      <c r="T183" s="63">
        <v>3474761</v>
      </c>
      <c r="U183" s="5" t="s">
        <v>12</v>
      </c>
      <c r="W183" s="5"/>
      <c r="X183" s="17"/>
      <c r="Y183" s="8"/>
      <c r="AC183" s="18"/>
      <c r="AF183" s="8" t="str">
        <f>HYPERLINK(CONCATENATE(TabelleURL!$B$1,"340_Helfer/3404700.pdf"), "B-3404700")</f>
        <v>B-3404700</v>
      </c>
      <c r="AG183" s="2" t="str">
        <f>HYPERLINK(CONCATENATE(TabelleURL!$B$1,"340_Helfer/3404701.pdf"), "3404701")</f>
        <v>3404701</v>
      </c>
      <c r="AL183" s="3" t="s">
        <v>7</v>
      </c>
      <c r="AP183" s="2" t="str">
        <f>HYPERLINK(CONCATENATE(TabelleURL!$B$1,"367/3674700.pdf"), "3674700")</f>
        <v>3674700</v>
      </c>
      <c r="AU183" s="10"/>
    </row>
    <row r="184" spans="1:47">
      <c r="A184" s="19" t="s">
        <v>306</v>
      </c>
      <c r="B184" s="19" t="s">
        <v>327</v>
      </c>
      <c r="C184" s="19"/>
      <c r="D184" s="19" t="s">
        <v>86</v>
      </c>
      <c r="E184" s="77"/>
      <c r="F184" s="71"/>
      <c r="G184" s="2" t="str">
        <f>HYPERLINK(CONCATENATE(TabelleURL!$B$1,"32_ADIF/332FI02.pdf"), "332FI02KA")</f>
        <v>332FI02KA</v>
      </c>
      <c r="P184" s="5" t="str">
        <f>HYPERLINK(CONCATENATE(TabelleURL!$B$1,"345_Signalbox/3450285-W.pdf"), "3450285-W")</f>
        <v>3450285-W</v>
      </c>
      <c r="T184" s="63"/>
      <c r="U184" s="5"/>
      <c r="W184" s="5"/>
      <c r="X184" s="17"/>
      <c r="Y184" s="8"/>
      <c r="AC184" s="18"/>
      <c r="AF184" s="8" t="str">
        <f>HYPERLINK(CONCATENATE(TabelleURL!$B$1,"340_Helfer/3404700.pdf"), "B-3404700")</f>
        <v>B-3404700</v>
      </c>
      <c r="AG184" s="2"/>
      <c r="AI184" s="5" t="str">
        <f>HYPERLINK(CONCATENATE(TabelleURL!$B$1,"3499_Taxi/34990081.pdf"), "34990081")</f>
        <v>34990081</v>
      </c>
      <c r="AP184" s="2" t="str">
        <f>HYPERLINK(CONCATENATE(TabelleURL!$B$1,"367/3674700.pdf"), "3674700")</f>
        <v>3674700</v>
      </c>
      <c r="AU184" s="10"/>
    </row>
    <row r="185" spans="1:47">
      <c r="A185" s="19" t="s">
        <v>306</v>
      </c>
      <c r="B185" s="19" t="s">
        <v>1400</v>
      </c>
      <c r="C185" s="19"/>
      <c r="D185" s="81" t="s">
        <v>25</v>
      </c>
      <c r="E185" s="77"/>
      <c r="F185" s="71"/>
      <c r="T185" s="63"/>
      <c r="U185" s="5"/>
      <c r="W185" s="5"/>
      <c r="X185" s="17"/>
      <c r="Y185" s="8"/>
      <c r="AC185" s="18"/>
      <c r="AG185" s="2"/>
      <c r="AP185" s="2"/>
      <c r="AU185" s="10"/>
    </row>
    <row r="186" spans="1:47">
      <c r="A186" s="19" t="s">
        <v>306</v>
      </c>
      <c r="B186" s="19" t="s">
        <v>328</v>
      </c>
      <c r="C186" s="19" t="s">
        <v>329</v>
      </c>
      <c r="D186" s="19" t="s">
        <v>119</v>
      </c>
      <c r="E186" s="77"/>
      <c r="F186" s="71"/>
      <c r="G186" s="2" t="str">
        <f>HYPERLINK(CONCATENATE(TabelleURL!$B$1,"332_ADIF/332FI01.pdf"), "332FI01")</f>
        <v>332FI01</v>
      </c>
      <c r="I186" s="2" t="str">
        <f>HYPERLINK(CONCATENATE(TabelleURL!$B$1,"342_ADIF/342FI01ZI.pdf"), "342FI01/0/ZI")</f>
        <v>342FI01/0/ZI</v>
      </c>
      <c r="R186" s="66" t="s">
        <v>11</v>
      </c>
      <c r="S186" s="67" t="str">
        <f>HYPERLINK(CONCATENATE(TabelleURL!$B$1,"347_URI/3474761.pdf"), "B-3474761")</f>
        <v>B-3474761</v>
      </c>
      <c r="T186" s="63">
        <v>3474761</v>
      </c>
      <c r="U186" s="5" t="s">
        <v>12</v>
      </c>
      <c r="W186" s="5"/>
      <c r="X186" s="17"/>
      <c r="Y186" s="8"/>
      <c r="AC186" s="18"/>
      <c r="AF186" s="8" t="str">
        <f>HYPERLINK(CONCATENATE(TabelleURL!$B$1,"340_Helfer/3404700.pdf"), "B-3404700")</f>
        <v>B-3404700</v>
      </c>
      <c r="AG186" s="2" t="str">
        <f>HYPERLINK(CONCATENATE(TabelleURL!$B$1,"340_Helfer/3404701.pdf"), "3404701")</f>
        <v>3404701</v>
      </c>
      <c r="AL186" s="3" t="s">
        <v>7</v>
      </c>
      <c r="AN186" s="2" t="str">
        <f>HYPERLINK(CONCATENATE(TabelleURL!$B$1,"350_RICI_PDC_OBI/3500031 OBI Alfa BMW Fiat Merc Opel VW D_E.pdf"), "3500031")</f>
        <v>3500031</v>
      </c>
      <c r="AP186" s="2" t="str">
        <f>HYPERLINK(CONCATENATE(TabelleURL!$B$1,"367/3674700.pdf"), "3674700")</f>
        <v>3674700</v>
      </c>
      <c r="AU186" s="10"/>
    </row>
    <row r="187" spans="1:47">
      <c r="A187" s="19" t="s">
        <v>306</v>
      </c>
      <c r="B187" s="19" t="s">
        <v>330</v>
      </c>
      <c r="C187" s="19" t="s">
        <v>331</v>
      </c>
      <c r="D187" s="19" t="s">
        <v>332</v>
      </c>
      <c r="E187" s="77"/>
      <c r="F187" s="71"/>
      <c r="G187" s="2" t="str">
        <f>HYPERLINK(CONCATENATE(TabelleURL!$B$1,"332_ADIF/332FI01.pdf"), "332FI01")</f>
        <v>332FI01</v>
      </c>
      <c r="I187" s="2" t="str">
        <f>HYPERLINK(CONCATENATE(TabelleURL!$B$1,"342_ADIF/342FI01ZI.pdf"), "342FI01/0/ZI")</f>
        <v>342FI01/0/ZI</v>
      </c>
      <c r="M187" s="5" t="str">
        <f>HYPERLINK(CONCATENATE(TabelleURL!$B$1,"345_Signalbox/3450257.pdf"), "3450257")</f>
        <v>3450257</v>
      </c>
      <c r="R187" s="66" t="s">
        <v>11</v>
      </c>
      <c r="S187" s="67" t="str">
        <f>HYPERLINK(CONCATENATE(TabelleURL!$B$1,"347_URI/3474761.pdf"), "B-3474761")</f>
        <v>B-3474761</v>
      </c>
      <c r="T187" s="63">
        <v>3474761</v>
      </c>
      <c r="U187" s="5" t="s">
        <v>12</v>
      </c>
      <c r="W187" s="5"/>
      <c r="X187" s="17"/>
      <c r="Y187" s="8"/>
      <c r="AC187" s="18"/>
      <c r="AF187" s="8" t="str">
        <f>HYPERLINK(CONCATENATE(TabelleURL!$B$1,"340_Helfer/3404700.pdf"), "B-3404700")</f>
        <v>B-3404700</v>
      </c>
      <c r="AG187" s="2" t="str">
        <f>HYPERLINK(CONCATENATE(TabelleURL!$B$1,"340_Helfer/3404701.pdf"), "3404701")</f>
        <v>3404701</v>
      </c>
      <c r="AL187" s="3" t="s">
        <v>7</v>
      </c>
      <c r="AN187" s="2" t="str">
        <f>HYPERLINK(CONCATENATE(TabelleURL!$B$1,"350_RICI_PDC_OBI/3500031 OBI Alfa BMW Fiat Merc Opel VW D_E.pdf"), "3500031")</f>
        <v>3500031</v>
      </c>
      <c r="AP187" s="2" t="str">
        <f>HYPERLINK(CONCATENATE(TabelleURL!$B$1,"367/3674700.pdf"), "3674700")</f>
        <v>3674700</v>
      </c>
      <c r="AU187" s="10"/>
    </row>
    <row r="188" spans="1:47">
      <c r="A188" s="19" t="s">
        <v>306</v>
      </c>
      <c r="B188" s="19" t="s">
        <v>333</v>
      </c>
      <c r="C188" s="19" t="s">
        <v>334</v>
      </c>
      <c r="D188" s="19" t="s">
        <v>251</v>
      </c>
      <c r="E188" s="77"/>
      <c r="F188" s="71"/>
      <c r="R188" s="66" t="s">
        <v>11</v>
      </c>
      <c r="S188" s="67" t="str">
        <f>HYPERLINK(CONCATENATE(TabelleURL!$B$1,"347_URI/3474761.pdf"), "B-3474761")</f>
        <v>B-3474761</v>
      </c>
      <c r="T188" s="63">
        <v>3474761</v>
      </c>
      <c r="U188" s="5" t="s">
        <v>12</v>
      </c>
      <c r="W188" s="5"/>
      <c r="X188" s="17"/>
      <c r="Y188" s="8"/>
      <c r="AC188" s="18"/>
      <c r="AU188" s="10"/>
    </row>
    <row r="189" spans="1:47">
      <c r="A189" s="19" t="s">
        <v>306</v>
      </c>
      <c r="B189" s="19" t="s">
        <v>335</v>
      </c>
      <c r="C189" s="19" t="s">
        <v>336</v>
      </c>
      <c r="D189" s="19" t="s">
        <v>337</v>
      </c>
      <c r="E189" s="77"/>
      <c r="F189" s="71"/>
      <c r="R189" s="66" t="s">
        <v>11</v>
      </c>
      <c r="S189" s="67" t="str">
        <f>HYPERLINK(CONCATENATE(TabelleURL!$B$1,"347_URI/3474761.pdf"), "B-3474761")</f>
        <v>B-3474761</v>
      </c>
      <c r="T189" s="63">
        <v>3474761</v>
      </c>
      <c r="U189" s="5" t="s">
        <v>12</v>
      </c>
      <c r="W189" s="5"/>
      <c r="X189" s="17"/>
      <c r="Y189" s="8"/>
      <c r="AC189" s="18"/>
      <c r="AF189" s="8" t="str">
        <f>HYPERLINK(CONCATENATE(TabelleURL!$B$1,"340_Helfer/3404700.pdf"), "B-3404700")</f>
        <v>B-3404700</v>
      </c>
      <c r="AG189" s="2" t="str">
        <f>HYPERLINK(CONCATENATE(TabelleURL!$B$1,"340_Helfer/3404701.pdf"), "3404701")</f>
        <v>3404701</v>
      </c>
      <c r="AL189" s="3" t="s">
        <v>7</v>
      </c>
      <c r="AN189" s="2" t="str">
        <f>HYPERLINK(CONCATENATE(TabelleURL!$B$1,"350_RICI_PDC_OBI/3500031 OBI Alfa BMW Fiat Merc Opel VW D_E.pdf"), "3500031")</f>
        <v>3500031</v>
      </c>
      <c r="AP189" s="2" t="str">
        <f>HYPERLINK(CONCATENATE(TabelleURL!$B$1,"367/3674700.pdf"), "3674700")</f>
        <v>3674700</v>
      </c>
      <c r="AU189" s="10"/>
    </row>
    <row r="190" spans="1:47">
      <c r="A190" s="19" t="s">
        <v>306</v>
      </c>
      <c r="B190" s="19" t="s">
        <v>338</v>
      </c>
      <c r="C190" s="19" t="s">
        <v>339</v>
      </c>
      <c r="D190" s="19" t="s">
        <v>340</v>
      </c>
      <c r="E190" s="77"/>
      <c r="F190" s="71"/>
      <c r="G190" s="2" t="str">
        <f>HYPERLINK(CONCATENATE(TabelleURL!$B$1,"332_ADIF/332FI01.pdf"), "332FI01")</f>
        <v>332FI01</v>
      </c>
      <c r="I190" s="2" t="str">
        <f>HYPERLINK(CONCATENATE(TabelleURL!$B$1,"342_ADIF/342FI01ZI.pdf"), "342FI01/0/ZI")</f>
        <v>342FI01/0/ZI</v>
      </c>
      <c r="M190" s="5" t="str">
        <f>HYPERLINK(CONCATENATE(TabelleURL!$B$1,"345_Signalbox/3450257.pdf"), "3450257")</f>
        <v>3450257</v>
      </c>
      <c r="R190" s="66" t="s">
        <v>11</v>
      </c>
      <c r="S190" s="67" t="str">
        <f>HYPERLINK(CONCATENATE(TabelleURL!$B$1,"347_URI/3474761.pdf"), "B-3474761")</f>
        <v>B-3474761</v>
      </c>
      <c r="T190" s="63">
        <v>3474761</v>
      </c>
      <c r="U190" s="5" t="s">
        <v>12</v>
      </c>
      <c r="W190" s="5"/>
      <c r="X190" s="17"/>
      <c r="Y190" s="8"/>
      <c r="AC190" s="18"/>
      <c r="AF190" s="8" t="str">
        <f>HYPERLINK(CONCATENATE(TabelleURL!$B$1,"340_Helfer/3404700.pdf"), "B-3404700")</f>
        <v>B-3404700</v>
      </c>
      <c r="AG190" s="2" t="str">
        <f>HYPERLINK(CONCATENATE(TabelleURL!$B$1,"340_Helfer/3404701.pdf"), "3404701")</f>
        <v>3404701</v>
      </c>
      <c r="AL190" s="3" t="s">
        <v>7</v>
      </c>
      <c r="AP190" s="2" t="str">
        <f>HYPERLINK(CONCATENATE(TabelleURL!$B$1,"367/3674700.pdf"), "3674700")</f>
        <v>3674700</v>
      </c>
      <c r="AU190" s="10"/>
    </row>
    <row r="191" spans="1:47">
      <c r="A191" s="19" t="s">
        <v>306</v>
      </c>
      <c r="B191" s="19" t="s">
        <v>338</v>
      </c>
      <c r="C191" s="19" t="s">
        <v>341</v>
      </c>
      <c r="D191" s="19" t="s">
        <v>86</v>
      </c>
      <c r="E191" s="77"/>
      <c r="F191" s="71"/>
      <c r="T191" s="63"/>
      <c r="U191" s="5"/>
      <c r="W191" s="5"/>
      <c r="X191" s="17"/>
      <c r="Y191" s="8"/>
      <c r="AC191" s="18"/>
      <c r="AF191" s="8" t="str">
        <f>HYPERLINK(CONCATENATE(TabelleURL!$B$1,"340_Helfer/3404700.pdf"), "B-3404700")</f>
        <v>B-3404700</v>
      </c>
      <c r="AG191" s="2"/>
      <c r="AP191" s="2"/>
      <c r="AU191" s="10"/>
    </row>
    <row r="192" spans="1:47">
      <c r="A192" s="19" t="s">
        <v>306</v>
      </c>
      <c r="B192" s="19" t="s">
        <v>342</v>
      </c>
      <c r="C192" s="19" t="s">
        <v>343</v>
      </c>
      <c r="D192" s="19" t="s">
        <v>344</v>
      </c>
      <c r="E192" s="77"/>
      <c r="F192" s="71"/>
      <c r="G192" s="2" t="str">
        <f>HYPERLINK(CONCATENATE(TabelleURL!$B$1,"332_ADIF/332FI01.pdf"), "332FI01")</f>
        <v>332FI01</v>
      </c>
      <c r="I192" s="2" t="str">
        <f>HYPERLINK(CONCATENATE(TabelleURL!$B$1,"342_ADIF/342FI01ZI.pdf"), "342FI01/0/ZI")</f>
        <v>342FI01/0/ZI</v>
      </c>
      <c r="T192" s="63"/>
      <c r="U192" s="5"/>
      <c r="W192" s="5"/>
      <c r="X192" s="17"/>
      <c r="Y192" s="8"/>
      <c r="AC192" s="18"/>
      <c r="AF192" s="8" t="str">
        <f>HYPERLINK(CONCATENATE(TabelleURL!$B$1,"340_Helfer/3404700.pdf"), "B-3404700")</f>
        <v>B-3404700</v>
      </c>
      <c r="AG192" s="2" t="str">
        <f>HYPERLINK(CONCATENATE(TabelleURL!$B$1,"340_Helfer/3404701.pdf"), "3404701")</f>
        <v>3404701</v>
      </c>
      <c r="AL192" s="3" t="s">
        <v>7</v>
      </c>
      <c r="AP192" s="2" t="str">
        <f>HYPERLINK(CONCATENATE(TabelleURL!$B$1,"367/3674700.pdf"), "3674700")</f>
        <v>3674700</v>
      </c>
      <c r="AU192" s="10"/>
    </row>
    <row r="193" spans="1:47">
      <c r="A193" s="19" t="s">
        <v>306</v>
      </c>
      <c r="B193" s="19" t="s">
        <v>342</v>
      </c>
      <c r="C193" s="19" t="s">
        <v>345</v>
      </c>
      <c r="D193" s="19" t="s">
        <v>346</v>
      </c>
      <c r="E193" s="77"/>
      <c r="F193" s="71"/>
      <c r="G193" s="2" t="str">
        <f>HYPERLINK(CONCATENATE(TabelleURL!$B$1,"332_ADIF/332FI01.pdf"), "332FI01")</f>
        <v>332FI01</v>
      </c>
      <c r="I193" s="2" t="str">
        <f>HYPERLINK(CONCATENATE(TabelleURL!$B$1,"342_ADIF/342FI01ZI.pdf"), "342FI01/0/ZI")</f>
        <v>342FI01/0/ZI</v>
      </c>
      <c r="M193" s="5" t="str">
        <f>HYPERLINK(CONCATENATE(TabelleURL!$B$1,"345_Signalbox/3450257.pdf"), "3450257")</f>
        <v>3450257</v>
      </c>
      <c r="R193" s="66" t="s">
        <v>11</v>
      </c>
      <c r="S193" s="67" t="str">
        <f>HYPERLINK(CONCATENATE(TabelleURL!$B$1,"347_URI/3474761.pdf"), "B-3474761")</f>
        <v>B-3474761</v>
      </c>
      <c r="T193" s="63">
        <v>3474761</v>
      </c>
      <c r="U193" s="5" t="s">
        <v>12</v>
      </c>
      <c r="W193" s="5"/>
      <c r="X193" s="17"/>
      <c r="Y193" s="8"/>
      <c r="AC193" s="18"/>
      <c r="AF193" s="8" t="str">
        <f>HYPERLINK(CONCATENATE(TabelleURL!$B$1,"340_Helfer/3404700.pdf"), "B-3404700")</f>
        <v>B-3404700</v>
      </c>
      <c r="AG193" s="2" t="str">
        <f>HYPERLINK(CONCATENATE(TabelleURL!$B$1,"340_Helfer/3404701.pdf"), "3404701")</f>
        <v>3404701</v>
      </c>
      <c r="AL193" s="3" t="s">
        <v>7</v>
      </c>
      <c r="AN193" s="2" t="str">
        <f>HYPERLINK(CONCATENATE(TabelleURL!$B$1,"350_RICI_PDC_OBI/3500031 OBI Alfa BMW Fiat Merc Opel VW D_E.pdf"), "3500031")</f>
        <v>3500031</v>
      </c>
      <c r="AP193" s="2" t="str">
        <f>HYPERLINK(CONCATENATE(TabelleURL!$B$1,"367/3674700.pdf"), "3674700")</f>
        <v>3674700</v>
      </c>
      <c r="AU193" s="10"/>
    </row>
    <row r="194" spans="1:47">
      <c r="A194" s="19" t="s">
        <v>306</v>
      </c>
      <c r="B194" s="19" t="s">
        <v>342</v>
      </c>
      <c r="C194" s="19" t="s">
        <v>347</v>
      </c>
      <c r="D194" s="19" t="s">
        <v>61</v>
      </c>
      <c r="E194" s="77"/>
      <c r="F194" s="71"/>
      <c r="G194" s="2" t="str">
        <f>HYPERLINK(CONCATENATE(TabelleURL!$B$1,"332_ADIF/332FI01.pdf"), "332FI01")</f>
        <v>332FI01</v>
      </c>
      <c r="I194" s="2" t="str">
        <f>HYPERLINK(CONCATENATE(TabelleURL!$B$1,"342_ADIF/342FI01ZI.pdf"), "342FI01/0/ZI")</f>
        <v>342FI01/0/ZI</v>
      </c>
      <c r="M194" s="5" t="str">
        <f>HYPERLINK(CONCATENATE(TabelleURL!$B$1,"345_Signalbox/3450257.pdf"), "3450257")</f>
        <v>3450257</v>
      </c>
      <c r="R194" s="66" t="s">
        <v>11</v>
      </c>
      <c r="S194" s="67" t="str">
        <f>HYPERLINK(CONCATENATE(TabelleURL!$B$1,"347_URI/3474761.pdf"), "B-3474761")</f>
        <v>B-3474761</v>
      </c>
      <c r="T194" s="63">
        <v>3474761</v>
      </c>
      <c r="U194" s="5" t="s">
        <v>12</v>
      </c>
      <c r="W194" s="5"/>
      <c r="X194" s="17"/>
      <c r="Y194" s="8"/>
      <c r="AC194" s="18"/>
      <c r="AF194" s="8" t="str">
        <f>HYPERLINK(CONCATENATE(TabelleURL!$B$1,"340_Helfer/3404700.pdf"), "B-3404700")</f>
        <v>B-3404700</v>
      </c>
      <c r="AG194" s="2" t="str">
        <f>HYPERLINK(CONCATENATE(TabelleURL!$B$1,"340_Helfer/3404701.pdf"), "3404701")</f>
        <v>3404701</v>
      </c>
      <c r="AL194" s="3" t="s">
        <v>7</v>
      </c>
      <c r="AN194" s="2" t="str">
        <f>HYPERLINK(CONCATENATE(TabelleURL!$B$1,"350_RICI_PDC_OBI/3500031 OBI Alfa BMW Fiat Merc Opel VW D_E.pdf"), "3500031")</f>
        <v>3500031</v>
      </c>
      <c r="AP194" s="2" t="str">
        <f>HYPERLINK(CONCATENATE(TabelleURL!$B$1,"367/3674700.pdf"), "3674700")</f>
        <v>3674700</v>
      </c>
      <c r="AU194" s="10"/>
    </row>
    <row r="195" spans="1:47">
      <c r="A195" s="19" t="s">
        <v>306</v>
      </c>
      <c r="B195" s="19" t="s">
        <v>348</v>
      </c>
      <c r="C195" s="19"/>
      <c r="D195" s="19" t="s">
        <v>349</v>
      </c>
      <c r="E195" s="77"/>
      <c r="F195" s="71"/>
      <c r="G195" s="2" t="str">
        <f>HYPERLINK(CONCATENATE(TabelleURL!$B$1,"332_ADIF/332FI01.pdf"), "332FI01")</f>
        <v>332FI01</v>
      </c>
      <c r="I195" s="2" t="str">
        <f>HYPERLINK(CONCATENATE(TabelleURL!$B$1,"342_ADIF/342FI01ZI.pdf"), "342FI01/0/ZI")</f>
        <v>342FI01/0/ZI</v>
      </c>
      <c r="M195" s="5" t="str">
        <f>HYPERLINK(CONCATENATE(TabelleURL!$B$1,"345_Signalbox/3450257.pdf"), "3450257")</f>
        <v>3450257</v>
      </c>
      <c r="R195" s="66" t="s">
        <v>11</v>
      </c>
      <c r="S195" s="67" t="str">
        <f>HYPERLINK(CONCATENATE(TabelleURL!$B$1,"347_URI/3474761.pdf"), "B-3474761")</f>
        <v>B-3474761</v>
      </c>
      <c r="T195" s="63">
        <v>3474761</v>
      </c>
      <c r="U195" s="5" t="s">
        <v>12</v>
      </c>
      <c r="W195" s="5"/>
      <c r="X195" s="17"/>
      <c r="Y195" s="8"/>
      <c r="AC195" s="18"/>
      <c r="AF195" s="8" t="str">
        <f>HYPERLINK(CONCATENATE(TabelleURL!$B$1,"340_Helfer/3404700.pdf"), "B-3404700")</f>
        <v>B-3404700</v>
      </c>
      <c r="AG195" s="2" t="str">
        <f>HYPERLINK(CONCATENATE(TabelleURL!$B$1,"340_Helfer/3404701.pdf"), "3404701")</f>
        <v>3404701</v>
      </c>
      <c r="AL195" s="3" t="s">
        <v>7</v>
      </c>
      <c r="AN195" s="2" t="str">
        <f>HYPERLINK(CONCATENATE(TabelleURL!$B$1,"350_RICI_PDC_OBI/3500031 OBI Alfa BMW Fiat Merc Opel VW D_E.pdf"), "3500031")</f>
        <v>3500031</v>
      </c>
      <c r="AP195" s="2" t="str">
        <f>HYPERLINK(CONCATENATE(TabelleURL!$B$1,"367/3674700.pdf"), "3674700")</f>
        <v>3674700</v>
      </c>
      <c r="AU195" s="10"/>
    </row>
    <row r="196" spans="1:47">
      <c r="A196" s="19" t="s">
        <v>306</v>
      </c>
      <c r="B196" s="19" t="s">
        <v>350</v>
      </c>
      <c r="C196" s="19" t="s">
        <v>351</v>
      </c>
      <c r="D196" s="19" t="s">
        <v>1374</v>
      </c>
      <c r="E196" s="77"/>
      <c r="F196" s="71"/>
      <c r="G196" s="2" t="str">
        <f>HYPERLINK(CONCATENATE(TabelleURL!$B$1,"332_ADIF/332CI05.pdf"), "332CI05KA")</f>
        <v>332CI05KA</v>
      </c>
      <c r="M196" s="5" t="str">
        <f>HYPERLINK(CONCATENATE(TabelleURL!$B$1,"345_Signalbox/3450264.pdf"), "3450264")</f>
        <v>3450264</v>
      </c>
      <c r="R196" s="66" t="s">
        <v>11</v>
      </c>
      <c r="S196" s="67" t="s">
        <v>239</v>
      </c>
      <c r="T196" s="63">
        <v>3470006</v>
      </c>
      <c r="U196" s="5" t="s">
        <v>240</v>
      </c>
      <c r="V196" s="4" t="s">
        <v>239</v>
      </c>
      <c r="W196" s="5"/>
      <c r="X196" s="17" t="s">
        <v>11</v>
      </c>
      <c r="Y196" s="8" t="s">
        <v>241</v>
      </c>
      <c r="AC196" s="18" t="s">
        <v>11</v>
      </c>
      <c r="AD196" s="4" t="str">
        <f>HYPERLINK(CONCATENATE(TabelleURL!$B$1,"367/3674212-PDC.pdf"), "3674212-PDC")</f>
        <v>3674212-PDC</v>
      </c>
      <c r="AF196" s="8" t="str">
        <f>HYPERLINK(CONCATENATE(TabelleURL!$B$1,"340_Helfer/3404700.pdf"), "B-3404700")</f>
        <v>B-3404700</v>
      </c>
      <c r="AG196" s="2" t="str">
        <f>HYPERLINK(CONCATENATE(TabelleURL!$B$1,"340_Helfer/3404701.pdf"), "3404701")</f>
        <v>3404701</v>
      </c>
      <c r="AH196" s="4" t="str">
        <f>HYPERLINK(CONCATENATE(TabelleURL!$B$1,"346_CAN2com/346300XX.pdf"), "34630015")</f>
        <v>34630015</v>
      </c>
      <c r="AI196" s="5" t="str">
        <f>HYPERLINK(CONCATENATE(TabelleURL!$B$1,"3499_Taxi/34990020.pdf"), "34990020")</f>
        <v>34990020</v>
      </c>
      <c r="AL196" s="3" t="s">
        <v>7</v>
      </c>
      <c r="AN196" s="2" t="str">
        <f>HYPERLINK(CONCATENATE(TabelleURL!$B$1,"350_RICI_PDC_OBI/3500031 OBI Alfa BMW Fiat Merc Opel VW D_E.pdf"), "3500031")</f>
        <v>3500031</v>
      </c>
      <c r="AP196" s="2" t="str">
        <f>HYPERLINK(CONCATENATE(TabelleURL!$B$1,"367/3674700.pdf"), "3674700")</f>
        <v>3674700</v>
      </c>
      <c r="AU196" s="10"/>
    </row>
    <row r="197" spans="1:47">
      <c r="A197" s="19" t="s">
        <v>306</v>
      </c>
      <c r="B197" s="19" t="s">
        <v>350</v>
      </c>
      <c r="C197" s="19" t="s">
        <v>258</v>
      </c>
      <c r="D197" s="19" t="s">
        <v>25</v>
      </c>
      <c r="E197" s="77"/>
      <c r="F197" s="71"/>
      <c r="T197" s="63"/>
      <c r="U197" s="5"/>
      <c r="W197" s="5"/>
      <c r="X197" s="17"/>
      <c r="Y197" s="8"/>
      <c r="AC197" s="18"/>
      <c r="AD197" s="4"/>
      <c r="AG197" s="2"/>
      <c r="AI197" s="5" t="str">
        <f>HYPERLINK(CONCATENATE(TabelleURL!$B$1,"3499_Taxi/34990023.pdf"), "34990023")</f>
        <v>34990023</v>
      </c>
      <c r="AP197" s="2"/>
      <c r="AU197" s="10"/>
    </row>
    <row r="198" spans="1:47">
      <c r="A198" s="19" t="s">
        <v>306</v>
      </c>
      <c r="B198" s="19" t="s">
        <v>352</v>
      </c>
      <c r="C198" s="19" t="s">
        <v>353</v>
      </c>
      <c r="D198" s="19" t="s">
        <v>354</v>
      </c>
      <c r="E198" s="77"/>
      <c r="F198" s="71"/>
      <c r="M198" s="5" t="str">
        <f>HYPERLINK(CONCATENATE(TabelleURL!$B$1,"345_Signalbox/3450272.pdf"), "3450272")</f>
        <v>3450272</v>
      </c>
      <c r="R198" s="66" t="s">
        <v>11</v>
      </c>
      <c r="S198" s="67" t="str">
        <f>HYPERLINK(CONCATENATE(TabelleURL!$B$1,"341_RC_Interface/3414786.pdf"), "B-3414786")</f>
        <v>B-3414786</v>
      </c>
      <c r="T198" s="63">
        <v>3474787</v>
      </c>
      <c r="U198" s="5" t="s">
        <v>355</v>
      </c>
      <c r="W198" s="5" t="s">
        <v>356</v>
      </c>
      <c r="X198" s="17"/>
      <c r="Y198" s="8"/>
      <c r="AC198" s="18"/>
      <c r="AF198" s="8" t="str">
        <f>HYPERLINK(CONCATENATE(TabelleURL!$B$1,"340_Helfer/3404700.pdf"), "B-3404700")</f>
        <v>B-3404700</v>
      </c>
      <c r="AG198" s="2"/>
      <c r="AP198" s="2" t="str">
        <f>HYPERLINK(CONCATENATE(TabelleURL!$B$1,"367/3674700.pdf"), "3674700")</f>
        <v>3674700</v>
      </c>
      <c r="AU198" s="10"/>
    </row>
    <row r="199" spans="1:47">
      <c r="A199" s="19" t="s">
        <v>306</v>
      </c>
      <c r="B199" s="19" t="s">
        <v>357</v>
      </c>
      <c r="C199" s="19"/>
      <c r="D199" s="19" t="s">
        <v>67</v>
      </c>
      <c r="E199" s="77"/>
      <c r="F199" s="71"/>
      <c r="G199" s="2" t="str">
        <f>HYPERLINK(CONCATENATE(TabelleURL!$B$1,"332_ADIF/332FI01.pdf"), "332FI01")</f>
        <v>332FI01</v>
      </c>
      <c r="I199" s="2" t="str">
        <f>HYPERLINK(CONCATENATE(TabelleURL!$B$1,"342_ADIF/342FI01ZI.pdf"), "342FI01/0/ZI")</f>
        <v>342FI01/0/ZI</v>
      </c>
      <c r="R199" s="66" t="s">
        <v>11</v>
      </c>
      <c r="S199" s="67" t="str">
        <f>HYPERLINK(CONCATENATE(TabelleURL!$B$1,"347_URI/3474761.pdf"), "B-3474761")</f>
        <v>B-3474761</v>
      </c>
      <c r="T199" s="63">
        <v>3474761</v>
      </c>
      <c r="U199" s="5" t="s">
        <v>12</v>
      </c>
      <c r="W199" s="5"/>
      <c r="X199" s="17"/>
      <c r="Y199" s="8"/>
      <c r="AC199" s="18"/>
      <c r="AF199" s="8" t="str">
        <f>HYPERLINK(CONCATENATE(TabelleURL!$B$1,"340_Helfer/3404700.pdf"), "B-3404700")</f>
        <v>B-3404700</v>
      </c>
      <c r="AG199" s="2" t="str">
        <f>HYPERLINK(CONCATENATE(TabelleURL!$B$1,"340_Helfer/3404701.pdf"), "3404701")</f>
        <v>3404701</v>
      </c>
      <c r="AL199" s="3" t="s">
        <v>7</v>
      </c>
      <c r="AN199" s="2" t="str">
        <f>HYPERLINK(CONCATENATE(TabelleURL!$B$1,"350_RICI_PDC_OBI/3500031 OBI Alfa BMW Fiat Merc Opel VW D_E.pdf"), "3500031")</f>
        <v>3500031</v>
      </c>
      <c r="AP199" s="2" t="str">
        <f>HYPERLINK(CONCATENATE(TabelleURL!$B$1,"367/3674700.pdf"), "3674700")</f>
        <v>3674700</v>
      </c>
      <c r="AU199" s="10"/>
    </row>
    <row r="200" spans="1:47">
      <c r="A200" s="19" t="s">
        <v>306</v>
      </c>
      <c r="B200" s="19" t="s">
        <v>1410</v>
      </c>
      <c r="C200" s="19"/>
      <c r="D200" s="19" t="s">
        <v>25</v>
      </c>
      <c r="E200" s="77" t="s">
        <v>1411</v>
      </c>
      <c r="F200" s="71"/>
      <c r="G200" s="2" t="str">
        <f>HYPERLINK(CONCATENATE(TabelleURL!$B$1,"332_ADIF/332RE03.pdf"), "332RE03")</f>
        <v>332RE03</v>
      </c>
      <c r="M200" s="5" t="str">
        <f>HYPERLINK(CONCATENATE(TabelleURL!$B$1,"345_Signalbox/3450271.pdf"), "3450271")</f>
        <v>3450271</v>
      </c>
      <c r="T200" s="63"/>
      <c r="U200" s="5"/>
      <c r="W200" s="5"/>
      <c r="X200" s="17"/>
      <c r="Y200" s="8"/>
      <c r="AB200" s="2" t="s">
        <v>127</v>
      </c>
      <c r="AC200" s="18"/>
      <c r="AG200" s="2"/>
      <c r="AP200" s="2"/>
      <c r="AU200" s="10"/>
    </row>
    <row r="201" spans="1:47">
      <c r="A201" s="19" t="s">
        <v>306</v>
      </c>
      <c r="B201" s="19" t="s">
        <v>358</v>
      </c>
      <c r="C201" s="19" t="s">
        <v>359</v>
      </c>
      <c r="D201" s="19" t="s">
        <v>90</v>
      </c>
      <c r="E201" s="77"/>
      <c r="F201" s="71"/>
      <c r="T201" s="63"/>
      <c r="U201" s="5"/>
      <c r="W201" s="5"/>
      <c r="X201" s="17"/>
      <c r="Y201" s="8"/>
      <c r="AC201" s="18"/>
      <c r="AF201" s="8" t="str">
        <f>HYPERLINK(CONCATENATE(TabelleURL!$B$1,"340_Helfer/3404700.pdf"), "B-3404700")</f>
        <v>B-3404700</v>
      </c>
      <c r="AG201" s="2" t="str">
        <f>HYPERLINK(CONCATENATE(TabelleURL!$B$1,"340_Helfer/3404701.pdf"), "3404701")</f>
        <v>3404701</v>
      </c>
      <c r="AL201" s="3" t="s">
        <v>7</v>
      </c>
      <c r="AN201" s="2" t="str">
        <f>HYPERLINK(CONCATENATE(TabelleURL!$B$1,"350_RICI_PDC_OBI/3500031 OBI Alfa BMW Fiat Merc Opel VW D_E.pdf"), "3500031")</f>
        <v>3500031</v>
      </c>
      <c r="AP201" s="2" t="str">
        <f>HYPERLINK(CONCATENATE(TabelleURL!$B$1,"367/3674700.pdf"), "3674700")</f>
        <v>3674700</v>
      </c>
      <c r="AU201" s="10"/>
    </row>
    <row r="202" spans="1:47">
      <c r="A202" s="19" t="s">
        <v>306</v>
      </c>
      <c r="B202" s="19" t="s">
        <v>358</v>
      </c>
      <c r="C202" s="19" t="s">
        <v>360</v>
      </c>
      <c r="D202" s="19" t="s">
        <v>625</v>
      </c>
      <c r="E202" s="77"/>
      <c r="F202" s="71"/>
      <c r="G202" s="2" t="str">
        <f>HYPERLINK(CONCATENATE(TabelleURL!$B$1,"332_ADIF/332CI05.pdf"), "332CI05KA")</f>
        <v>332CI05KA</v>
      </c>
      <c r="H202" s="2" t="s">
        <v>238</v>
      </c>
      <c r="M202" s="5" t="str">
        <f>HYPERLINK(CONCATENATE(TabelleURL!$B$1,"345_Signalbox/3450264.pdf"), "3450264")</f>
        <v>3450264</v>
      </c>
      <c r="R202" s="66" t="s">
        <v>11</v>
      </c>
      <c r="S202" s="67" t="s">
        <v>239</v>
      </c>
      <c r="T202" s="63">
        <v>3470006</v>
      </c>
      <c r="U202" s="5" t="s">
        <v>240</v>
      </c>
      <c r="V202" s="4" t="s">
        <v>239</v>
      </c>
      <c r="W202" s="5"/>
      <c r="X202" s="17" t="s">
        <v>11</v>
      </c>
      <c r="Y202" s="8" t="s">
        <v>241</v>
      </c>
      <c r="AC202" s="18" t="s">
        <v>11</v>
      </c>
      <c r="AD202" s="4" t="str">
        <f>HYPERLINK(CONCATENATE(TabelleURL!$B$1,"367/3674212-PDC.pdf"), "3674212-PDC")</f>
        <v>3674212-PDC</v>
      </c>
      <c r="AF202" s="8" t="str">
        <f>HYPERLINK(CONCATENATE(TabelleURL!$B$1,"340_Helfer/3404700.pdf"), "B-3404700")</f>
        <v>B-3404700</v>
      </c>
      <c r="AG202" s="2" t="str">
        <f>HYPERLINK(CONCATENATE(TabelleURL!$B$1,"340_Helfer/3404701.pdf"), "3404701")</f>
        <v>3404701</v>
      </c>
      <c r="AH202" s="4" t="str">
        <f>HYPERLINK(CONCATENATE(TabelleURL!$B$1,"346_CAN2com/346300XX.pdf"), "34630015")</f>
        <v>34630015</v>
      </c>
      <c r="AI202" s="5" t="str">
        <f>HYPERLINK(CONCATENATE(TabelleURL!$B$1,"3499_Taxi/34990023.pdf"), "34990023")</f>
        <v>34990023</v>
      </c>
      <c r="AL202" s="3" t="s">
        <v>7</v>
      </c>
      <c r="AN202" s="2" t="str">
        <f>HYPERLINK(CONCATENATE(TabelleURL!$B$1,"350_RICI_PDC_OBI/3500031 OBI Alfa BMW Fiat Merc Opel VW D_E.pdf"), "3500031")</f>
        <v>3500031</v>
      </c>
      <c r="AP202" s="2" t="str">
        <f>HYPERLINK(CONCATENATE(TabelleURL!$B$1,"367/3674700.pdf"), "3674700")</f>
        <v>3674700</v>
      </c>
      <c r="AU202" s="10"/>
    </row>
    <row r="203" spans="1:47">
      <c r="A203" s="19" t="s">
        <v>306</v>
      </c>
      <c r="B203" s="19" t="s">
        <v>361</v>
      </c>
      <c r="C203" s="19" t="s">
        <v>362</v>
      </c>
      <c r="D203" s="19" t="s">
        <v>29</v>
      </c>
      <c r="E203" s="77"/>
      <c r="F203" s="71"/>
      <c r="G203" s="2" t="str">
        <f>HYPERLINK(CONCATENATE(TabelleURL!$B$1,"332_ADIF/332FI01.pdf"), "332FI01")</f>
        <v>332FI01</v>
      </c>
      <c r="I203" s="2" t="str">
        <f>HYPERLINK(CONCATENATE(TabelleURL!$B$1,"342_ADIF/342FI01ZI.pdf"), "342FI01/0/ZI")</f>
        <v>342FI01/0/ZI</v>
      </c>
      <c r="M203" s="5" t="str">
        <f>HYPERLINK(CONCATENATE(TabelleURL!$B$1,"345_Signalbox/3450257.pdf"), "3450257")</f>
        <v>3450257</v>
      </c>
      <c r="R203" s="66" t="s">
        <v>11</v>
      </c>
      <c r="S203" s="67" t="str">
        <f>HYPERLINK(CONCATENATE(TabelleURL!$B$1,"347_URI/3474761.pdf"), "B-3474761")</f>
        <v>B-3474761</v>
      </c>
      <c r="T203" s="63">
        <v>3474761</v>
      </c>
      <c r="U203" s="5" t="s">
        <v>12</v>
      </c>
      <c r="W203" s="5"/>
      <c r="X203" s="17"/>
      <c r="Y203" s="8"/>
      <c r="AC203" s="18"/>
      <c r="AF203" s="8" t="str">
        <f>HYPERLINK(CONCATENATE(TabelleURL!$B$1,"340_Helfer/3404700.pdf"), "B-3404700")</f>
        <v>B-3404700</v>
      </c>
      <c r="AL203" s="3" t="s">
        <v>7</v>
      </c>
      <c r="AP203" s="2" t="str">
        <f>HYPERLINK(CONCATENATE(TabelleURL!$B$1,"367/3674700.pdf"), "3674700")</f>
        <v>3674700</v>
      </c>
      <c r="AU203" s="4"/>
    </row>
    <row r="204" spans="1:47">
      <c r="A204" s="19" t="s">
        <v>363</v>
      </c>
      <c r="B204" s="19" t="s">
        <v>364</v>
      </c>
      <c r="C204" s="19"/>
      <c r="D204" s="19"/>
      <c r="E204" s="77"/>
      <c r="F204" s="71"/>
      <c r="I204" s="2" t="str">
        <f>HYPERLINK(CONCATENATE(TabelleURL!$B$1,"342_ADIF/342FMS01ZI.pdf"), "342FMS01/0/ZI")</f>
        <v>342FMS01/0/ZI</v>
      </c>
      <c r="T204" s="63"/>
      <c r="U204" s="5"/>
      <c r="W204" s="5"/>
      <c r="X204" s="17"/>
      <c r="Y204" s="8"/>
      <c r="AC204" s="18"/>
      <c r="AH204" s="4" t="str">
        <f>HYPERLINK(CONCATENATE(TabelleURL!$B$1,"346_CAN2com/346300XX.pdf"), "34630013")</f>
        <v>34630013</v>
      </c>
    </row>
    <row r="205" spans="1:47" ht="22.5">
      <c r="A205" s="19" t="s">
        <v>365</v>
      </c>
      <c r="B205" s="19" t="s">
        <v>366</v>
      </c>
      <c r="C205" s="19"/>
      <c r="D205" s="19" t="s">
        <v>367</v>
      </c>
      <c r="E205" s="77"/>
      <c r="F205" s="71" t="s">
        <v>368</v>
      </c>
      <c r="T205" s="63"/>
      <c r="U205" s="5"/>
      <c r="W205" s="5"/>
      <c r="X205" s="17"/>
      <c r="Y205" s="8"/>
      <c r="AC205" s="18"/>
    </row>
    <row r="206" spans="1:47">
      <c r="A206" s="19" t="s">
        <v>365</v>
      </c>
      <c r="B206" s="19" t="s">
        <v>369</v>
      </c>
      <c r="C206" s="19" t="s">
        <v>370</v>
      </c>
      <c r="D206" s="19" t="s">
        <v>92</v>
      </c>
      <c r="E206" s="77"/>
      <c r="F206" s="71"/>
      <c r="G206" s="2" t="str">
        <f>HYPERLINK(CONCATENATE(TabelleURL!$B$1,"332_ADIF/332FD01.pdf"), "332FD01KA")</f>
        <v>332FD01KA</v>
      </c>
      <c r="H206" s="2" t="s">
        <v>50</v>
      </c>
      <c r="I206" s="2" t="str">
        <f>HYPERLINK(CONCATENATE(TabelleURL!$B$1,"342_ADIF/342FD01ZI.pdf"), "342FD01/0/ZI")</f>
        <v>342FD01/0/ZI</v>
      </c>
      <c r="R206" s="66" t="s">
        <v>11</v>
      </c>
      <c r="S206" s="67" t="str">
        <f>HYPERLINK(CONCATENATE(TabelleURL!$B$1,"341_RC_Interface/3414752.pdf"), "B-3414752")</f>
        <v>B-3414752</v>
      </c>
      <c r="T206" s="63">
        <v>3470003</v>
      </c>
      <c r="U206" s="5" t="s">
        <v>371</v>
      </c>
      <c r="W206" s="5" t="str">
        <f>HYPERLINK(CONCATENATE(TabelleURL!$B$1,"347_URI/3414752.pdf"), "B-3414752")</f>
        <v>B-3414752</v>
      </c>
      <c r="X206" s="17"/>
      <c r="Y206" s="8"/>
      <c r="AC206" s="18"/>
      <c r="AF206" s="8" t="str">
        <f>HYPERLINK(CONCATENATE(TabelleURL!$B$1,"350_RICI_PDC_OBI/B-3504701 RICI HS_D_E.pdf"), "B-3504701")</f>
        <v>B-3504701</v>
      </c>
    </row>
    <row r="207" spans="1:47">
      <c r="A207" s="19" t="s">
        <v>365</v>
      </c>
      <c r="B207" s="19" t="s">
        <v>369</v>
      </c>
      <c r="C207" s="19" t="s">
        <v>270</v>
      </c>
      <c r="D207" s="19" t="s">
        <v>27</v>
      </c>
      <c r="E207" s="77" t="s">
        <v>372</v>
      </c>
      <c r="F207" s="71"/>
      <c r="G207" s="2" t="str">
        <f>HYPERLINK(CONCATENATE(TabelleURL!$B$1,"332_ADIF/332FD03.pdf"), "332FD03KA")</f>
        <v>332FD03KA</v>
      </c>
      <c r="I207" s="2" t="str">
        <f>HYPERLINK(CONCATENATE(TabelleURL!$B$1,"342_ADIF/342FD03ZI.pdf"), "342FD03/0/ZI")</f>
        <v>342FD03/0/ZI</v>
      </c>
      <c r="M207" s="9"/>
      <c r="P207" s="5" t="str">
        <f>HYPERLINK(CONCATENATE(TabelleURL!$B$1,"345_Signalbox/3450280-W.pdf"), "3450280-W")</f>
        <v>3450280-W</v>
      </c>
      <c r="Q207" s="5" t="str">
        <f>HYPERLINK(CONCATENATE(TabelleURL!$B$1,"345_Signalbox/3450480.pdf"), "3450480")</f>
        <v>3450480</v>
      </c>
      <c r="T207" s="63"/>
      <c r="U207" s="5"/>
      <c r="W207" s="5"/>
      <c r="X207" s="17"/>
      <c r="Y207" s="8"/>
      <c r="AC207" s="18"/>
      <c r="AH207" s="4" t="str">
        <f>HYPERLINK(CONCATENATE(TabelleURL!$B$1,"346_CAN2com/3475852.pdf"), "3475852")</f>
        <v>3475852</v>
      </c>
      <c r="AI207" s="5" t="str">
        <f>HYPERLINK(CONCATENATE(TabelleURL!$B$1,"3499_Taxi/34990073.pdf"), "34990073")</f>
        <v>34990073</v>
      </c>
    </row>
    <row r="208" spans="1:47">
      <c r="A208" s="19" t="s">
        <v>365</v>
      </c>
      <c r="B208" s="19" t="s">
        <v>1406</v>
      </c>
      <c r="C208" s="19" t="s">
        <v>225</v>
      </c>
      <c r="D208" s="81" t="s">
        <v>73</v>
      </c>
      <c r="E208" s="77"/>
      <c r="F208" s="71"/>
      <c r="G208" s="85" t="str">
        <f>HYPERLINK(CONCATENATE(TabelleURL!$B$1,"332_ADIF/332FD08.pdf"), "332FD08KA")</f>
        <v>332FD08KA</v>
      </c>
      <c r="P208" s="5" t="str">
        <f>HYPERLINK(CONCATENATE(TabelleURL!$B$1,"345_Signalbox/3450293-W.pdf"), "3450293-W")</f>
        <v>3450293-W</v>
      </c>
      <c r="T208" s="63"/>
      <c r="U208" s="5"/>
      <c r="W208" s="5"/>
      <c r="X208" s="17"/>
      <c r="Y208" s="8"/>
      <c r="AC208" s="18"/>
      <c r="AI208" s="5" t="str">
        <f>HYPERLINK(CONCATENATE(TabelleURL!$B$1,"3499_Taxi/34990086.pdf"), "34990086")</f>
        <v>34990086</v>
      </c>
    </row>
    <row r="209" spans="1:45">
      <c r="A209" s="19" t="s">
        <v>365</v>
      </c>
      <c r="B209" s="19" t="s">
        <v>373</v>
      </c>
      <c r="C209" s="19"/>
      <c r="D209" s="19" t="s">
        <v>73</v>
      </c>
      <c r="E209" s="77"/>
      <c r="F209" s="71"/>
      <c r="M209" s="9"/>
      <c r="R209" s="66" t="s">
        <v>11</v>
      </c>
      <c r="S209" s="67" t="str">
        <f>HYPERLINK(CONCATENATE(TabelleURL!$B$1,"344_URI2/3444752.pdf"), "B-3444752")</f>
        <v>B-3444752</v>
      </c>
      <c r="T209" s="63"/>
      <c r="U209" s="5"/>
      <c r="W209" s="5"/>
      <c r="X209" s="17"/>
      <c r="Y209" s="8"/>
      <c r="AC209" s="18"/>
    </row>
    <row r="210" spans="1:45">
      <c r="A210" s="19" t="s">
        <v>365</v>
      </c>
      <c r="B210" s="19" t="s">
        <v>374</v>
      </c>
      <c r="C210" s="19" t="s">
        <v>375</v>
      </c>
      <c r="D210" s="19" t="s">
        <v>268</v>
      </c>
      <c r="E210" s="77"/>
      <c r="F210" s="71"/>
      <c r="G210" s="2" t="str">
        <f>HYPERLINK(CONCATENATE(TabelleURL!$B$1,"332_ADIF/332FD02.pdf"), "332FD02KA")</f>
        <v>332FD02KA</v>
      </c>
      <c r="M210" s="9"/>
      <c r="T210" s="63"/>
      <c r="U210" s="5"/>
      <c r="W210" s="5"/>
      <c r="X210" s="17"/>
      <c r="Y210" s="8"/>
      <c r="AC210" s="18"/>
    </row>
    <row r="211" spans="1:45">
      <c r="A211" s="19" t="s">
        <v>365</v>
      </c>
      <c r="B211" s="19" t="s">
        <v>374</v>
      </c>
      <c r="C211" s="19" t="s">
        <v>376</v>
      </c>
      <c r="D211" s="19" t="s">
        <v>269</v>
      </c>
      <c r="E211" s="77" t="s">
        <v>377</v>
      </c>
      <c r="F211" s="71"/>
      <c r="G211" s="2" t="str">
        <f>HYPERLINK(CONCATENATE(TabelleURL!$B$1,"332_ADIF/332FD01.pdf"), "332FD01KA")</f>
        <v>332FD01KA</v>
      </c>
      <c r="H211" s="2" t="s">
        <v>50</v>
      </c>
      <c r="I211" s="2" t="str">
        <f>HYPERLINK(CONCATENATE(TabelleURL!$B$1,"342_ADIF/342FD01ZI.pdf"), "342FD01/0/ZI")</f>
        <v>342FD01/0/ZI</v>
      </c>
      <c r="R211" s="66" t="s">
        <v>11</v>
      </c>
      <c r="S211" s="67" t="str">
        <f>HYPERLINK(CONCATENATE(TabelleURL!$B$1,"341_RC_Interface/3414752.pdf"), "B-3414752")</f>
        <v>B-3414752</v>
      </c>
      <c r="T211" s="63"/>
      <c r="U211" s="5"/>
      <c r="W211" s="5" t="str">
        <f>HYPERLINK(CONCATENATE(TabelleURL!$B$1,"347_URI/3414752.pdf"), "B-3414752")</f>
        <v>B-3414752</v>
      </c>
      <c r="X211" s="17"/>
      <c r="Y211" s="8"/>
      <c r="AC211" s="18"/>
      <c r="AF211" s="8" t="str">
        <f>HYPERLINK(CONCATENATE(TabelleURL!$B$1,"350_RICI_PDC_OBI/B-3504701 RICI HS_D_E.pdf"), "B-3504701")</f>
        <v>B-3504701</v>
      </c>
    </row>
    <row r="212" spans="1:45">
      <c r="A212" s="19" t="s">
        <v>365</v>
      </c>
      <c r="B212" s="19" t="s">
        <v>374</v>
      </c>
      <c r="C212" s="19" t="s">
        <v>378</v>
      </c>
      <c r="D212" s="19" t="s">
        <v>242</v>
      </c>
      <c r="E212" s="77"/>
      <c r="F212" s="71"/>
      <c r="G212" s="2" t="str">
        <f>HYPERLINK(CONCATENATE(TabelleURL!$B$1,"332_ADIF/332FD01.pdf"), "332FD01KA")</f>
        <v>332FD01KA</v>
      </c>
      <c r="H212" s="2" t="s">
        <v>50</v>
      </c>
      <c r="I212" s="2" t="str">
        <f>HYPERLINK(CONCATENATE(TabelleURL!$B$1,"342_ADIF/342FD01ZI.pdf"), "342FD01/0/ZI")</f>
        <v>342FD01/0/ZI</v>
      </c>
      <c r="T212" s="63"/>
      <c r="U212" s="5"/>
      <c r="W212" s="5"/>
      <c r="X212" s="17"/>
      <c r="Y212" s="8"/>
      <c r="AC212" s="18"/>
      <c r="AF212" s="8" t="str">
        <f>HYPERLINK(CONCATENATE(TabelleURL!$B$1,"350_RICI_PDC_OBI/B-3504701 RICI HS_D_E.pdf"), "B-3504701")</f>
        <v>B-3504701</v>
      </c>
    </row>
    <row r="213" spans="1:45" ht="22.5">
      <c r="A213" s="19" t="s">
        <v>365</v>
      </c>
      <c r="B213" s="19" t="s">
        <v>374</v>
      </c>
      <c r="C213" s="19" t="s">
        <v>378</v>
      </c>
      <c r="D213" s="19" t="s">
        <v>1393</v>
      </c>
      <c r="E213" s="77" t="s">
        <v>379</v>
      </c>
      <c r="F213" s="71" t="s">
        <v>380</v>
      </c>
      <c r="G213" s="2" t="s">
        <v>6</v>
      </c>
      <c r="T213" s="63"/>
      <c r="U213" s="5"/>
      <c r="W213" s="5"/>
      <c r="X213" s="17"/>
      <c r="Y213" s="8"/>
      <c r="AC213" s="18"/>
    </row>
    <row r="214" spans="1:45">
      <c r="A214" s="19" t="s">
        <v>365</v>
      </c>
      <c r="B214" s="19" t="s">
        <v>374</v>
      </c>
      <c r="C214" s="19" t="s">
        <v>1443</v>
      </c>
      <c r="D214" s="19" t="s">
        <v>104</v>
      </c>
      <c r="E214" s="77"/>
      <c r="F214" s="71"/>
      <c r="G214" s="2" t="str">
        <f>HYPERLINK(CONCATENATE(TabelleURL!$B$1,"332_ADIF/332FD08.pdf"), "332FD08KA")</f>
        <v>332FD08KA</v>
      </c>
      <c r="T214" s="63"/>
      <c r="U214" s="5"/>
      <c r="W214" s="5"/>
      <c r="X214" s="17"/>
      <c r="Y214" s="8"/>
      <c r="AC214" s="18"/>
    </row>
    <row r="215" spans="1:45">
      <c r="A215" s="19" t="s">
        <v>365</v>
      </c>
      <c r="B215" s="19" t="s">
        <v>381</v>
      </c>
      <c r="C215" s="19" t="s">
        <v>382</v>
      </c>
      <c r="D215" s="19" t="s">
        <v>23</v>
      </c>
      <c r="E215" s="77"/>
      <c r="F215" s="71"/>
      <c r="G215" s="2" t="str">
        <f>HYPERLINK(CONCATENATE(TabelleURL!$B$1,"332_ADIF/332FD01.pdf"), "332FD01KA")</f>
        <v>332FD01KA</v>
      </c>
      <c r="H215" s="2" t="s">
        <v>50</v>
      </c>
      <c r="I215" s="2" t="str">
        <f>HYPERLINK(CONCATENATE(TabelleURL!$B$1,"342_ADIF/342FD01ZI.pdf"), "342FD01/0/ZI")</f>
        <v>342FD01/0/ZI</v>
      </c>
      <c r="R215" s="66" t="s">
        <v>11</v>
      </c>
      <c r="S215" s="67" t="str">
        <f>HYPERLINK(CONCATENATE(TabelleURL!$B$1,"341_RC_Interface/3414752.pdf"), "B-3414752")</f>
        <v>B-3414752</v>
      </c>
      <c r="T215" s="63">
        <v>3470003</v>
      </c>
      <c r="U215" s="5" t="s">
        <v>371</v>
      </c>
      <c r="W215" s="5" t="str">
        <f>HYPERLINK(CONCATENATE(TabelleURL!$B$1,"347_URI/3414752.pdf"), "B-3414752")</f>
        <v>B-3414752</v>
      </c>
      <c r="X215" s="17"/>
      <c r="Y215" s="8"/>
      <c r="AC215" s="18"/>
      <c r="AF215" s="8" t="str">
        <f>HYPERLINK(CONCATENATE(TabelleURL!$B$1,"350_RICI_PDC_OBI/B-3504701 RICI HS_D_E.pdf"), "B-3504701")</f>
        <v>B-3504701</v>
      </c>
      <c r="AI215" s="5" t="str">
        <f>HYPERLINK(CONCATENATE(TabelleURL!$B$1,"3499_Taxi/34990042.pdf"), "34990042")</f>
        <v>34990042</v>
      </c>
      <c r="AR215" s="3" t="s">
        <v>383</v>
      </c>
    </row>
    <row r="216" spans="1:45">
      <c r="A216" s="19" t="s">
        <v>365</v>
      </c>
      <c r="B216" s="19" t="s">
        <v>381</v>
      </c>
      <c r="C216" s="19" t="s">
        <v>384</v>
      </c>
      <c r="D216" s="19" t="s">
        <v>86</v>
      </c>
      <c r="E216" s="77"/>
      <c r="F216" s="71"/>
      <c r="G216" s="2" t="str">
        <f>HYPERLINK(CONCATENATE(TabelleURL!$B$1,"332_ADIF/332FD03.pdf"), "332FD03KA")</f>
        <v>332FD03KA</v>
      </c>
      <c r="I216" s="2" t="str">
        <f>HYPERLINK(CONCATENATE(TabelleURL!$B$1,"342_ADIF/342FD03ZI.pdf"), "342FD03/0/ZI")</f>
        <v>342FD03/0/ZI</v>
      </c>
      <c r="P216" s="5" t="str">
        <f>HYPERLINK(CONCATENATE(TabelleURL!$B$1,"345_Signalbox/3450280-W.pdf"), "3450280-W")</f>
        <v>3450280-W</v>
      </c>
      <c r="Q216" s="5" t="str">
        <f>HYPERLINK(CONCATENATE(TabelleURL!$B$1,"345_Signalbox/3450480.pdf"), "3450480")</f>
        <v>3450480</v>
      </c>
      <c r="T216" s="63"/>
      <c r="U216" s="5"/>
      <c r="W216" s="5"/>
      <c r="X216" s="17"/>
      <c r="Y216" s="8"/>
      <c r="AC216" s="18"/>
      <c r="AH216" s="4" t="str">
        <f>HYPERLINK(CONCATENATE(TabelleURL!$B$1,"346_CAN2com/3475852.pdf"), "3475852")</f>
        <v>3475852</v>
      </c>
      <c r="AI216" s="5" t="str">
        <f>HYPERLINK(CONCATENATE(TabelleURL!$B$1,"3499_Taxi/34990073.pdf"), "34990073")</f>
        <v>34990073</v>
      </c>
    </row>
    <row r="217" spans="1:45">
      <c r="A217" s="19" t="s">
        <v>365</v>
      </c>
      <c r="B217" s="19" t="s">
        <v>385</v>
      </c>
      <c r="C217" s="19" t="s">
        <v>386</v>
      </c>
      <c r="D217" s="19" t="s">
        <v>119</v>
      </c>
      <c r="E217" s="77"/>
      <c r="F217" s="71"/>
      <c r="G217" s="2" t="str">
        <f>HYPERLINK(CONCATENATE(TabelleURL!$B$1,"332_ADIF/332FD01.pdf"), "332FD01KA")</f>
        <v>332FD01KA</v>
      </c>
      <c r="H217" s="2" t="s">
        <v>50</v>
      </c>
      <c r="I217" s="2" t="str">
        <f>HYPERLINK(CONCATENATE(TabelleURL!$B$1,"342_ADIF/342FD01ZI.pdf"), "342FD01/0/ZI")</f>
        <v>342FD01/0/ZI</v>
      </c>
      <c r="R217" s="66" t="s">
        <v>11</v>
      </c>
      <c r="S217" s="67" t="str">
        <f>HYPERLINK(CONCATENATE(TabelleURL!$B$1,"341_RC_Interface/3414752.pdf"), "B-3414752")</f>
        <v>B-3414752</v>
      </c>
      <c r="T217" s="63">
        <v>3470003</v>
      </c>
      <c r="U217" s="5" t="s">
        <v>371</v>
      </c>
      <c r="W217" s="5" t="str">
        <f>HYPERLINK(CONCATENATE(TabelleURL!$B$1,"347_URI/3414752.pdf"), "B-3414752")</f>
        <v>B-3414752</v>
      </c>
      <c r="X217" s="17"/>
      <c r="Y217" s="8"/>
      <c r="AC217" s="18"/>
      <c r="AF217" s="8" t="str">
        <f>HYPERLINK(CONCATENATE(TabelleURL!$B$1,"350_RICI_PDC_OBI/B-3504701 RICI HS_D_E.pdf"), "B-3504701")</f>
        <v>B-3504701</v>
      </c>
    </row>
    <row r="218" spans="1:45">
      <c r="A218" s="19" t="s">
        <v>365</v>
      </c>
      <c r="B218" s="19" t="s">
        <v>387</v>
      </c>
      <c r="C218" s="19" t="s">
        <v>388</v>
      </c>
      <c r="D218" s="19" t="s">
        <v>8</v>
      </c>
      <c r="E218" s="77"/>
      <c r="F218" s="71"/>
      <c r="G218" s="2" t="str">
        <f>HYPERLINK(CONCATENATE(TabelleURL!$B$1,"332_ADIF/332FD01.pdf"), "332FD01KA")</f>
        <v>332FD01KA</v>
      </c>
      <c r="H218" s="2" t="s">
        <v>50</v>
      </c>
      <c r="I218" s="2" t="str">
        <f>HYPERLINK(CONCATENATE(TabelleURL!$B$1,"342_ADIF/342FD01ZI.pdf"), "342FD01/0/ZI")</f>
        <v>342FD01/0/ZI</v>
      </c>
      <c r="R218" s="66" t="s">
        <v>11</v>
      </c>
      <c r="S218" s="67" t="str">
        <f>HYPERLINK(CONCATENATE(TabelleURL!$B$1,"341_RC_Interface/3414752.pdf"), "B-3414752")</f>
        <v>B-3414752</v>
      </c>
      <c r="T218" s="63">
        <v>3470003</v>
      </c>
      <c r="U218" s="5" t="s">
        <v>371</v>
      </c>
      <c r="W218" s="5" t="str">
        <f>HYPERLINK(CONCATENATE(TabelleURL!$B$1,"347_URI/3414752.pdf"), "B-3414752")</f>
        <v>B-3414752</v>
      </c>
      <c r="X218" s="17"/>
      <c r="Y218" s="8"/>
      <c r="AC218" s="18"/>
      <c r="AF218" s="8" t="str">
        <f>HYPERLINK(CONCATENATE(TabelleURL!$B$1,"350_RICI_PDC_OBI/B-3504701 RICI HS_D_E.pdf"), "B-3504701")</f>
        <v>B-3504701</v>
      </c>
      <c r="AI218" s="5" t="str">
        <f>HYPERLINK(CONCATENATE(TabelleURL!$B$1,"3499_Taxi/34990041.pdf"), "34990041")</f>
        <v>34990041</v>
      </c>
    </row>
    <row r="219" spans="1:45">
      <c r="A219" s="19" t="s">
        <v>365</v>
      </c>
      <c r="B219" s="19" t="s">
        <v>387</v>
      </c>
      <c r="C219" s="19" t="s">
        <v>389</v>
      </c>
      <c r="D219" s="19" t="s">
        <v>390</v>
      </c>
      <c r="E219" s="77"/>
      <c r="F219" s="71"/>
      <c r="G219" s="2" t="str">
        <f>HYPERLINK(CONCATENATE(TabelleURL!$B$1,"332_ADIF/332FD04.pdf"), "332FD04KA")</f>
        <v>332FD04KA</v>
      </c>
      <c r="R219" s="66" t="s">
        <v>11</v>
      </c>
      <c r="S219" s="67" t="str">
        <f>HYPERLINK(CONCATENATE(TabelleURL!$B$1,"341_RC_Interface/3414752.pdf"), "B-3414752")</f>
        <v>B-3414752</v>
      </c>
      <c r="T219" s="63">
        <v>3470003</v>
      </c>
      <c r="U219" s="5" t="s">
        <v>371</v>
      </c>
      <c r="W219" s="5" t="str">
        <f>HYPERLINK(CONCATENATE(TabelleURL!$B$1,"347_URI/3414752.pdf"), "B-3414752")</f>
        <v>B-3414752</v>
      </c>
      <c r="X219" s="17"/>
      <c r="Y219" s="8"/>
      <c r="AC219" s="18" t="s">
        <v>11</v>
      </c>
      <c r="AD219" s="4" t="str">
        <f>HYPERLINK(CONCATENATE(TabelleURL!$B$1,"367/3674212-PDC.pdf"), "3674212-PDC")</f>
        <v>3674212-PDC</v>
      </c>
      <c r="AH219" s="4" t="str">
        <f>HYPERLINK(CONCATENATE(TabelleURL!$B$1,"346_CAN2com/3475830.pdf"), "3475830")</f>
        <v>3475830</v>
      </c>
      <c r="AI219" s="5" t="str">
        <f>HYPERLINK(CONCATENATE(TabelleURL!$B$1,"3499_Taxi/34990074.pdf"), "34990074")</f>
        <v>34990074</v>
      </c>
    </row>
    <row r="220" spans="1:45">
      <c r="A220" s="19" t="s">
        <v>365</v>
      </c>
      <c r="B220" s="19" t="s">
        <v>387</v>
      </c>
      <c r="C220" s="19" t="s">
        <v>258</v>
      </c>
      <c r="D220" s="19" t="s">
        <v>73</v>
      </c>
      <c r="E220" s="77"/>
      <c r="F220" s="71"/>
      <c r="G220" s="2" t="str">
        <f>HYPERLINK(CONCATENATE(TabelleURL!$B$1,"332_ADIF2/332FD08.pdf"), "332FD08KA")</f>
        <v>332FD08KA</v>
      </c>
      <c r="M220" s="5" t="str">
        <f>HYPERLINK(CONCATENATE(TabelleURL!$B$1,"345_Signalbox/3450293.pdf"), "3450293")</f>
        <v>3450293</v>
      </c>
      <c r="P220" s="5" t="str">
        <f>HYPERLINK(CONCATENATE(TabelleURL!$B$1,"345_Signalbox/3450293-W.pdf"), "3450293-W")</f>
        <v>3450293-W</v>
      </c>
      <c r="Q220" s="5" t="str">
        <f>HYPERLINK(CONCATENATE(TabelleURL!$B$1,"345_Signalbox/3450480.pdf"), "3450480")</f>
        <v>3450480</v>
      </c>
      <c r="T220" s="63"/>
      <c r="U220" s="5"/>
      <c r="W220" s="5"/>
      <c r="X220" s="17"/>
      <c r="Y220" s="8"/>
      <c r="AC220" s="18"/>
      <c r="AD220" s="4"/>
      <c r="AI220" s="5" t="str">
        <f>HYPERLINK(CONCATENATE(TabelleURL!$B$1,"3499_Taxi/34990086.pdf"), "34990086")</f>
        <v>34990086</v>
      </c>
    </row>
    <row r="221" spans="1:45">
      <c r="A221" s="19" t="s">
        <v>365</v>
      </c>
      <c r="B221" s="19" t="s">
        <v>391</v>
      </c>
      <c r="C221" s="19" t="s">
        <v>392</v>
      </c>
      <c r="D221" s="19" t="s">
        <v>213</v>
      </c>
      <c r="E221" s="77"/>
      <c r="F221" s="71" t="s">
        <v>393</v>
      </c>
      <c r="G221" s="2" t="str">
        <f>HYPERLINK(CONCATENATE(TabelleURL!$B$1,"332_ADIF/332FI01.pdf"), "332FI01")</f>
        <v>332FI01</v>
      </c>
      <c r="I221" s="2" t="str">
        <f>HYPERLINK(CONCATENATE(TabelleURL!$B$1,"342_ADIF/342FI01ZI.pdf"), "342FI01/0/ZI")</f>
        <v>342FI01/0/ZI</v>
      </c>
      <c r="M221" s="5" t="str">
        <f>HYPERLINK(CONCATENATE(TabelleURL!$B$1,"345_Signalbox/3450257.pdf"), "3450257")</f>
        <v>3450257</v>
      </c>
      <c r="R221" s="66" t="s">
        <v>11</v>
      </c>
      <c r="S221" s="67" t="str">
        <f>HYPERLINK(CONCATENATE(TabelleURL!$B$1,"347_URI/3474761.pdf"), "B-3474761")</f>
        <v>B-3474761</v>
      </c>
      <c r="T221" s="63"/>
      <c r="U221" s="5"/>
      <c r="W221" s="5"/>
      <c r="X221" s="17"/>
      <c r="Y221" s="8"/>
      <c r="AC221" s="18"/>
      <c r="AN221" s="2" t="str">
        <f>HYPERLINK(CONCATENATE(TabelleURL!$B$1,"350_RICI_PDC_OBI/3500031 OBI Alfa BMW Fiat Merc Opel VW D_E.pdf"), "3500031")</f>
        <v>3500031</v>
      </c>
    </row>
    <row r="222" spans="1:45">
      <c r="A222" s="19" t="s">
        <v>365</v>
      </c>
      <c r="B222" s="19" t="s">
        <v>394</v>
      </c>
      <c r="C222" s="19" t="s">
        <v>395</v>
      </c>
      <c r="D222" s="19" t="s">
        <v>396</v>
      </c>
      <c r="E222" s="77"/>
      <c r="F222" s="71"/>
      <c r="G222" s="2" t="str">
        <f>HYPERLINK(CONCATENATE(TabelleURL!$B$1,"332_ADIF/332FD01.pdf"), "332FD01KA")</f>
        <v>332FD01KA</v>
      </c>
      <c r="H222" s="2" t="s">
        <v>50</v>
      </c>
      <c r="I222" s="2" t="str">
        <f>HYPERLINK(CONCATENATE(TabelleURL!$B$1,"342_ADIF/342FD01ZI.pdf"), "342FD01/0/ZI")</f>
        <v>342FD01/0/ZI</v>
      </c>
      <c r="R222" s="66" t="s">
        <v>11</v>
      </c>
      <c r="S222" s="67" t="str">
        <f>HYPERLINK(CONCATENATE(TabelleURL!$B$1,"341_RC_Interface/3414752.pdf"), "B-3414752")</f>
        <v>B-3414752</v>
      </c>
      <c r="T222" s="63">
        <v>3470003</v>
      </c>
      <c r="U222" s="5" t="s">
        <v>371</v>
      </c>
      <c r="W222" s="5" t="str">
        <f>HYPERLINK(CONCATENATE(TabelleURL!$B$1,"347_URI/3414752.pdf"), "B-3414752")</f>
        <v>B-3414752</v>
      </c>
      <c r="X222" s="17"/>
      <c r="Y222" s="8"/>
      <c r="AC222" s="18"/>
      <c r="AF222" s="8" t="str">
        <f>HYPERLINK(CONCATENATE(TabelleURL!$B$1,"350_RICI_PDC_OBI/B-3504701 RICI HS_D_E.pdf"), "B-3504701")</f>
        <v>B-3504701</v>
      </c>
      <c r="AI222" s="5" t="str">
        <f>HYPERLINK(CONCATENATE(TabelleURL!$B$1,"3499_Taxi/34990042.pdf"), "34990042")</f>
        <v>34990042</v>
      </c>
    </row>
    <row r="223" spans="1:45">
      <c r="A223" s="19" t="s">
        <v>365</v>
      </c>
      <c r="B223" s="19" t="s">
        <v>394</v>
      </c>
      <c r="C223" s="19" t="s">
        <v>397</v>
      </c>
      <c r="D223" s="19" t="s">
        <v>19</v>
      </c>
      <c r="E223" s="77"/>
      <c r="F223" s="71"/>
      <c r="G223" s="2" t="str">
        <f>HYPERLINK(CONCATENATE(TabelleURL!$B$1,"332_ADIF/332FD03.pdf"), "332FD03KA")</f>
        <v>332FD03KA</v>
      </c>
      <c r="I223" s="2" t="str">
        <f>HYPERLINK(CONCATENATE(TabelleURL!$B$1,"342_ADIF/342FD03ZI.pdf"), "342FD03/0/ZI")</f>
        <v>342FD03/0/ZI</v>
      </c>
      <c r="M223" s="9"/>
      <c r="P223" s="5" t="str">
        <f>HYPERLINK(CONCATENATE(TabelleURL!$B$1,"345_Signalbox/3450280-W.pdf"), "3450280-W")</f>
        <v>3450280-W</v>
      </c>
      <c r="Q223" s="5" t="str">
        <f>HYPERLINK(CONCATENATE(TabelleURL!$B$1,"345_Signalbox/3450480.pdf"), "3450480")</f>
        <v>3450480</v>
      </c>
      <c r="T223" s="63"/>
      <c r="U223" s="5"/>
      <c r="W223" s="5"/>
      <c r="X223" s="17"/>
      <c r="Y223" s="8"/>
      <c r="AC223" s="18" t="s">
        <v>11</v>
      </c>
      <c r="AD223" s="4" t="str">
        <f>HYPERLINK(CONCATENATE(TabelleURL!$B$1,"367/3674212-PDC.pdf"), "3674212-PDC")</f>
        <v>3674212-PDC</v>
      </c>
      <c r="AH223" s="4" t="str">
        <f>HYPERLINK(CONCATENATE(TabelleURL!$B$1,"346_CAN2com/3475852.pdf"), "3475852")</f>
        <v>3475852</v>
      </c>
      <c r="AI223" s="5" t="str">
        <f>HYPERLINK(CONCATENATE(TabelleURL!$B$1,"3499_Taxi/34990073.pdf"), "34990073")</f>
        <v>34990073</v>
      </c>
      <c r="AS223" s="84" t="str">
        <f>HYPERLINK(CONCATENATE(TabelleURL!$B$1,"339_MWS/B-339FD01.pdf"), "B-339FD01")</f>
        <v>B-339FD01</v>
      </c>
    </row>
    <row r="224" spans="1:45" ht="22.5">
      <c r="A224" s="19" t="s">
        <v>365</v>
      </c>
      <c r="B224" s="19" t="s">
        <v>398</v>
      </c>
      <c r="C224" s="19" t="s">
        <v>399</v>
      </c>
      <c r="D224" s="19" t="s">
        <v>400</v>
      </c>
      <c r="E224" s="77"/>
      <c r="F224" s="71" t="s">
        <v>401</v>
      </c>
      <c r="G224" s="2" t="str">
        <f>HYPERLINK(CONCATENATE(TabelleURL!$B$1,"332_ADIF/332FD01.pdf"), "332FD01KA")</f>
        <v>332FD01KA</v>
      </c>
      <c r="H224" s="2" t="s">
        <v>50</v>
      </c>
      <c r="R224" s="66" t="s">
        <v>11</v>
      </c>
      <c r="S224" s="67" t="str">
        <f>HYPERLINK(CONCATENATE(TabelleURL!$B$1,"341_RC_Interface/3414752.pdf"), "B-3414752")</f>
        <v>B-3414752</v>
      </c>
      <c r="T224" s="63">
        <v>3470003</v>
      </c>
      <c r="U224" s="5" t="s">
        <v>371</v>
      </c>
      <c r="W224" s="5" t="str">
        <f>HYPERLINK(CONCATENATE(TabelleURL!$B$1,"347_URI/3414752.pdf"), "B-3414752")</f>
        <v>B-3414752</v>
      </c>
      <c r="X224" s="17"/>
      <c r="Y224" s="8"/>
      <c r="AC224" s="18"/>
      <c r="AI224" s="5" t="str">
        <f>HYPERLINK(CONCATENATE(TabelleURL!$B$1,"3499_Taxi/34990041.pdf"), "34990041")</f>
        <v>34990041</v>
      </c>
    </row>
    <row r="225" spans="1:45">
      <c r="A225" s="19" t="s">
        <v>365</v>
      </c>
      <c r="B225" s="19" t="s">
        <v>398</v>
      </c>
      <c r="C225" s="19" t="s">
        <v>402</v>
      </c>
      <c r="D225" s="19" t="s">
        <v>231</v>
      </c>
      <c r="E225" s="77"/>
      <c r="F225" s="71"/>
      <c r="G225" s="2" t="str">
        <f>HYPERLINK(CONCATENATE(TabelleURL!$B$1,"332_ADIF/332FD01.pdf"), "332FD01KA")</f>
        <v>332FD01KA</v>
      </c>
      <c r="H225" s="2" t="s">
        <v>50</v>
      </c>
      <c r="I225" s="2" t="str">
        <f>HYPERLINK(CONCATENATE(TabelleURL!$B$1,"342_ADIF/342FD01ZI.pdf"), "342FD01/0/ZI")</f>
        <v>342FD01/0/ZI</v>
      </c>
      <c r="R225" s="66" t="s">
        <v>11</v>
      </c>
      <c r="S225" s="67" t="str">
        <f>HYPERLINK(CONCATENATE(TabelleURL!$B$1,"341_RC_Interface/3414752.pdf"), "B-3414752")</f>
        <v>B-3414752</v>
      </c>
      <c r="T225" s="63">
        <v>3470003</v>
      </c>
      <c r="U225" s="5" t="s">
        <v>371</v>
      </c>
      <c r="W225" s="5" t="str">
        <f>HYPERLINK(CONCATENATE(TabelleURL!$B$1,"347_URI/3414752.pdf"), "B-3414752")</f>
        <v>B-3414752</v>
      </c>
      <c r="X225" s="17"/>
      <c r="Y225" s="8"/>
      <c r="AC225" s="18"/>
      <c r="AF225" s="8" t="str">
        <f>HYPERLINK(CONCATENATE(TabelleURL!$B$1,"350_RICI_PDC_OBI/B-3504701 RICI HS_D_E.pdf"), "B-3504701")</f>
        <v>B-3504701</v>
      </c>
      <c r="AH225" s="4" t="str">
        <f>HYPERLINK(CONCATENATE(TabelleURL!$B$1,"346_CAN2com/3475830.pdf"), "3475830")</f>
        <v>3475830</v>
      </c>
      <c r="AI225" s="5" t="str">
        <f>HYPERLINK(CONCATENATE(TabelleURL!$B$1,"3499_Taxi/34990041.pdf"), "34990041")</f>
        <v>34990041</v>
      </c>
    </row>
    <row r="226" spans="1:45">
      <c r="A226" s="19" t="s">
        <v>365</v>
      </c>
      <c r="B226" s="19" t="s">
        <v>398</v>
      </c>
      <c r="C226" s="19" t="s">
        <v>403</v>
      </c>
      <c r="D226" s="19" t="s">
        <v>27</v>
      </c>
      <c r="E226" s="77"/>
      <c r="F226" s="71"/>
      <c r="G226" s="2" t="str">
        <f>HYPERLINK(CONCATENATE(TabelleURL!$B$1,"332_ADIF/332FD04.pdf"), "332FD04KA")</f>
        <v>332FD04KA</v>
      </c>
      <c r="R226" s="66" t="s">
        <v>11</v>
      </c>
      <c r="S226" s="67" t="str">
        <f>HYPERLINK(CONCATENATE(TabelleURL!$B$1,"341_RC_Interface/3414752.pdf"), "B-3414752")</f>
        <v>B-3414752</v>
      </c>
      <c r="T226" s="63">
        <v>3470003</v>
      </c>
      <c r="U226" s="5" t="s">
        <v>371</v>
      </c>
      <c r="W226" s="5" t="str">
        <f>HYPERLINK(CONCATENATE(TabelleURL!$B$1,"347_URI/3414752.pdf"), "B-3414752")</f>
        <v>B-3414752</v>
      </c>
      <c r="X226" s="17"/>
      <c r="Y226" s="8"/>
      <c r="AC226" s="18" t="s">
        <v>11</v>
      </c>
      <c r="AD226" s="4" t="str">
        <f>HYPERLINK(CONCATENATE(TabelleURL!$B$1,"367/3674212-PDC.pdf"), "3674212-PDC")</f>
        <v>3674212-PDC</v>
      </c>
      <c r="AH226" s="4" t="str">
        <f>HYPERLINK(CONCATENATE(TabelleURL!$B$1,"346_CAN2com/3475830.pdf"), "3475830")</f>
        <v>3475830</v>
      </c>
      <c r="AI226" s="5" t="str">
        <f>HYPERLINK(CONCATENATE(TabelleURL!$B$1,"3499_Taxi/34990074.pdf"), "34990074")</f>
        <v>34990074</v>
      </c>
    </row>
    <row r="227" spans="1:45">
      <c r="A227" s="19" t="s">
        <v>365</v>
      </c>
      <c r="B227" s="19" t="s">
        <v>398</v>
      </c>
      <c r="C227" s="19" t="s">
        <v>227</v>
      </c>
      <c r="D227" s="19" t="s">
        <v>116</v>
      </c>
      <c r="E227" s="77"/>
      <c r="F227" s="71"/>
      <c r="G227" s="2" t="str">
        <f>HYPERLINK(CONCATENATE(TabelleURL!$B$1,"332_ADIF/332FD08.pdf"), "332FD08KA")</f>
        <v>332FD08KA</v>
      </c>
      <c r="P227" s="5" t="str">
        <f>HYPERLINK(CONCATENATE(TabelleURL!$B$1,"345_Signalbox/3450293-W.pdf"), "3450293-W")</f>
        <v>3450293-W</v>
      </c>
      <c r="T227" s="63"/>
      <c r="U227" s="5"/>
      <c r="W227" s="5"/>
      <c r="X227" s="17"/>
      <c r="Y227" s="8"/>
      <c r="AC227" s="18"/>
      <c r="AD227" s="4"/>
      <c r="AI227" s="5" t="str">
        <f>HYPERLINK(CONCATENATE(TabelleURL!$B$1,"3499_Taxi/34990086.pdf"), "34990086")</f>
        <v>34990086</v>
      </c>
      <c r="AS227" s="84" t="str">
        <f>HYPERLINK(CONCATENATE(TabelleURL!$B$1,"339_MWS/B-339FD02.pdf"), "B-339FD02")</f>
        <v>B-339FD02</v>
      </c>
    </row>
    <row r="228" spans="1:45">
      <c r="A228" s="19" t="s">
        <v>365</v>
      </c>
      <c r="B228" s="19" t="s">
        <v>404</v>
      </c>
      <c r="C228" s="19"/>
      <c r="D228" s="19" t="s">
        <v>405</v>
      </c>
      <c r="E228" s="77"/>
      <c r="F228" s="71"/>
      <c r="G228" s="2" t="str">
        <f>HYPERLINK(CONCATENATE(TabelleURL!$B$1,"332_ADIF/332FD07.pdf"), "332FD07KA")</f>
        <v>332FD07KA</v>
      </c>
      <c r="M228" s="5" t="str">
        <f>HYPERLINK(CONCATENATE(TabelleURL!$B$1,"345_Signalbox/3450278.pdf"), "3450278")</f>
        <v>3450278</v>
      </c>
      <c r="T228" s="63"/>
      <c r="U228" s="5"/>
      <c r="W228" s="5"/>
      <c r="X228" s="17"/>
      <c r="Y228" s="8"/>
      <c r="AC228" s="18"/>
    </row>
    <row r="229" spans="1:45">
      <c r="A229" s="19" t="s">
        <v>365</v>
      </c>
      <c r="B229" s="19" t="s">
        <v>404</v>
      </c>
      <c r="C229" s="19"/>
      <c r="D229" s="19" t="s">
        <v>73</v>
      </c>
      <c r="E229" s="77"/>
      <c r="F229" s="71"/>
      <c r="G229" s="2" t="str">
        <f>HYPERLINK(CONCATENATE(TabelleURL!$B$1,"332_ADIF2/332FD08.pdf"), "332FD08KA")</f>
        <v>332FD08KA</v>
      </c>
      <c r="P229" s="5" t="str">
        <f>HYPERLINK(CONCATENATE(TabelleURL!$B$1,"345_Signalbox/3450293-W.pdf"), "3450293-W")</f>
        <v>3450293-W</v>
      </c>
      <c r="T229" s="63"/>
      <c r="U229" s="5"/>
      <c r="W229" s="5"/>
      <c r="X229" s="17"/>
      <c r="Y229" s="8"/>
      <c r="AC229" s="18"/>
    </row>
    <row r="230" spans="1:45">
      <c r="A230" s="19" t="s">
        <v>365</v>
      </c>
      <c r="B230" s="19" t="s">
        <v>406</v>
      </c>
      <c r="C230" s="19" t="s">
        <v>219</v>
      </c>
      <c r="D230" s="19" t="s">
        <v>8</v>
      </c>
      <c r="E230" s="77"/>
      <c r="F230" s="71"/>
      <c r="G230" s="2" t="str">
        <f>HYPERLINK(CONCATENATE(TabelleURL!$B$1,"332_ADIF/332FD01.pdf"), "332FD01KA")</f>
        <v>332FD01KA</v>
      </c>
      <c r="H230" s="2" t="s">
        <v>50</v>
      </c>
      <c r="I230" s="2" t="str">
        <f>HYPERLINK(CONCATENATE(TabelleURL!$B$1,"342_ADIF/342FD01ZI.pdf"), "342FD01/0/ZI")</f>
        <v>342FD01/0/ZI</v>
      </c>
      <c r="R230" s="66" t="s">
        <v>11</v>
      </c>
      <c r="S230" s="67" t="str">
        <f>HYPERLINK(CONCATENATE(TabelleURL!$B$1,"341_RC_Interface/3414752.pdf"), "B-3414752")</f>
        <v>B-3414752</v>
      </c>
      <c r="T230" s="63">
        <v>3470003</v>
      </c>
      <c r="U230" s="5" t="s">
        <v>371</v>
      </c>
      <c r="W230" s="5" t="str">
        <f>HYPERLINK(CONCATENATE(TabelleURL!$B$1,"347_URI/3414752.pdf"), "B-3414752")</f>
        <v>B-3414752</v>
      </c>
      <c r="X230" s="17"/>
      <c r="Y230" s="8"/>
      <c r="AC230" s="18"/>
      <c r="AF230" s="8" t="str">
        <f>HYPERLINK(CONCATENATE(TabelleURL!$B$1,"350_RICI_PDC_OBI/B-3504701 RICI HS_D_E.pdf"), "B-3504701")</f>
        <v>B-3504701</v>
      </c>
      <c r="AI230" s="5" t="str">
        <f>HYPERLINK(CONCATENATE(TabelleURL!$B$1,"3499_Taxi/34990041.pdf"), "34990041")</f>
        <v>34990041</v>
      </c>
    </row>
    <row r="231" spans="1:45">
      <c r="A231" s="19" t="s">
        <v>365</v>
      </c>
      <c r="B231" s="19" t="s">
        <v>406</v>
      </c>
      <c r="C231" s="19" t="s">
        <v>407</v>
      </c>
      <c r="D231" s="19" t="s">
        <v>263</v>
      </c>
      <c r="E231" s="77"/>
      <c r="F231" s="71"/>
      <c r="G231" s="2" t="str">
        <f>HYPERLINK(CONCATENATE(TabelleURL!$B$1,"332_ADIF/332FD05.pdf"), "332FD05KA")</f>
        <v>332FD05KA</v>
      </c>
      <c r="R231" s="66" t="s">
        <v>11</v>
      </c>
      <c r="S231" s="67" t="str">
        <f>HYPERLINK(CONCATENATE(TabelleURL!$B$1,"341_RC_Interface/3414752.pdf"), "B-3414752")</f>
        <v>B-3414752</v>
      </c>
      <c r="T231" s="63">
        <v>3470003</v>
      </c>
      <c r="U231" s="5" t="s">
        <v>371</v>
      </c>
      <c r="W231" s="5" t="str">
        <f>HYPERLINK(CONCATENATE(TabelleURL!$B$1,"347_URI/3414752.pdf"), "B-3414752")</f>
        <v>B-3414752</v>
      </c>
      <c r="X231" s="17"/>
      <c r="Y231" s="8"/>
      <c r="AC231" s="18" t="s">
        <v>11</v>
      </c>
      <c r="AD231" s="4" t="str">
        <f>HYPERLINK(CONCATENATE(TabelleURL!$B$1,"367/3674212-PDC.pdf"), "3674212-PDC")</f>
        <v>3674212-PDC</v>
      </c>
      <c r="AH231" s="4" t="str">
        <f>HYPERLINK(CONCATENATE(TabelleURL!$B$1,"346_CAN2com/3475830.pdf"), "3475830")</f>
        <v>3475830</v>
      </c>
      <c r="AI231" s="5" t="str">
        <f>HYPERLINK(CONCATENATE(TabelleURL!$B$1,"3499_Taxi/34990074.pdf"), "34990074")</f>
        <v>34990074</v>
      </c>
    </row>
    <row r="232" spans="1:45">
      <c r="A232" s="19" t="s">
        <v>365</v>
      </c>
      <c r="B232" s="19" t="s">
        <v>406</v>
      </c>
      <c r="C232" s="19" t="s">
        <v>225</v>
      </c>
      <c r="D232" s="19" t="s">
        <v>73</v>
      </c>
      <c r="E232" s="77"/>
      <c r="F232" s="71"/>
      <c r="G232" s="2" t="str">
        <f>HYPERLINK(CONCATENATE(TabelleURL!$B$1,"332_ADIF2/332FD08.pdf"), "332FD08KA")</f>
        <v>332FD08KA</v>
      </c>
      <c r="P232" s="5" t="str">
        <f>HYPERLINK(CONCATENATE(TabelleURL!$B$1,"345_Signalbox/3450293-W.pdf"), "3450293-W")</f>
        <v>3450293-W</v>
      </c>
      <c r="T232" s="63"/>
      <c r="U232" s="5"/>
      <c r="W232" s="5"/>
      <c r="X232" s="17"/>
      <c r="Y232" s="8"/>
      <c r="AC232" s="18"/>
      <c r="AD232" s="4"/>
      <c r="AI232" s="5" t="str">
        <f>HYPERLINK(CONCATENATE(TabelleURL!$B$1,"3499_Taxi/34990086.pdf"), "34990086")</f>
        <v>34990086</v>
      </c>
      <c r="AS232" s="84" t="str">
        <f>HYPERLINK(CONCATENATE(TabelleURL!$B$1,"339_MWS/B-339FD02.pdf"), "B-339FD02")</f>
        <v>B-339FD02</v>
      </c>
    </row>
    <row r="233" spans="1:45">
      <c r="A233" s="19" t="s">
        <v>365</v>
      </c>
      <c r="B233" s="19" t="s">
        <v>408</v>
      </c>
      <c r="C233" s="19" t="s">
        <v>409</v>
      </c>
      <c r="D233" s="19" t="s">
        <v>410</v>
      </c>
      <c r="E233" s="77"/>
      <c r="F233" s="71"/>
      <c r="G233" s="2" t="str">
        <f>HYPERLINK(CONCATENATE(TabelleURL!$B$1,"332_ADIF/332FD02.pdf"), "332FD02KA")</f>
        <v>332FD02KA</v>
      </c>
      <c r="R233" s="66" t="s">
        <v>11</v>
      </c>
      <c r="S233" s="67" t="s">
        <v>411</v>
      </c>
      <c r="T233" s="63">
        <v>3470003</v>
      </c>
      <c r="U233" s="5" t="s">
        <v>412</v>
      </c>
      <c r="W233" s="5"/>
      <c r="X233" s="17"/>
      <c r="Y233" s="8"/>
      <c r="AC233" s="18"/>
    </row>
    <row r="234" spans="1:45">
      <c r="A234" s="19" t="s">
        <v>365</v>
      </c>
      <c r="B234" s="19" t="s">
        <v>408</v>
      </c>
      <c r="C234" s="19" t="s">
        <v>413</v>
      </c>
      <c r="D234" s="19" t="s">
        <v>189</v>
      </c>
      <c r="E234" s="77"/>
      <c r="F234" s="71"/>
      <c r="G234" s="2" t="str">
        <f>HYPERLINK(CONCATENATE(TabelleURL!$B$1,"332_ADIF/332FD02.pdf"), "332FD02KA")</f>
        <v>332FD02KA</v>
      </c>
      <c r="R234" s="66" t="s">
        <v>11</v>
      </c>
      <c r="S234" s="67" t="s">
        <v>411</v>
      </c>
      <c r="T234" s="63">
        <v>3470003</v>
      </c>
      <c r="U234" s="5" t="s">
        <v>412</v>
      </c>
      <c r="W234" s="5"/>
      <c r="X234" s="17"/>
      <c r="Y234" s="8"/>
      <c r="AC234" s="18"/>
      <c r="AI234" s="5" t="str">
        <f>HYPERLINK(CONCATENATE(TabelleURL!$B$1,"3499_Taxi/34990043.pdf"), "34990043")</f>
        <v>34990043</v>
      </c>
    </row>
    <row r="235" spans="1:45">
      <c r="A235" s="19" t="s">
        <v>365</v>
      </c>
      <c r="B235" s="19" t="s">
        <v>408</v>
      </c>
      <c r="C235" s="19" t="s">
        <v>397</v>
      </c>
      <c r="D235" s="19" t="s">
        <v>19</v>
      </c>
      <c r="E235" s="77"/>
      <c r="F235" s="71"/>
      <c r="G235" s="2" t="str">
        <f>HYPERLINK(CONCATENATE(TabelleURL!$B$1,"332_ADIF/332FD03.pdf"), "332FD03KA")</f>
        <v>332FD03KA</v>
      </c>
      <c r="I235" s="2" t="str">
        <f>HYPERLINK(CONCATENATE(TabelleURL!$B$1,"342_ADIF/342FD03ZI.pdf"), "342FD03/0/ZI")</f>
        <v>342FD03/0/ZI</v>
      </c>
      <c r="P235" s="5" t="str">
        <f>HYPERLINK(CONCATENATE(TabelleURL!$B$1,"345_Signalbox/3450280-W.pdf"), "3450280-W")</f>
        <v>3450280-W</v>
      </c>
      <c r="Q235" s="5" t="str">
        <f>HYPERLINK(CONCATENATE(TabelleURL!$B$1,"345_Signalbox/3450480.pdf"), "3450480")</f>
        <v>3450480</v>
      </c>
      <c r="T235" s="63"/>
      <c r="U235" s="5"/>
      <c r="W235" s="5"/>
      <c r="X235" s="17"/>
      <c r="Y235" s="8"/>
      <c r="AC235" s="18"/>
      <c r="AH235" s="4" t="str">
        <f>HYPERLINK(CONCATENATE(TabelleURL!$B$1,"346_CAN2com/3475852.pdf"), "3475852")</f>
        <v>3475852</v>
      </c>
      <c r="AI235" s="5" t="str">
        <f>HYPERLINK(CONCATENATE(TabelleURL!$B$1,"3499_Taxi/34990073.pdf"), "34990073")</f>
        <v>34990073</v>
      </c>
    </row>
    <row r="236" spans="1:45">
      <c r="A236" s="19" t="s">
        <v>365</v>
      </c>
      <c r="B236" s="19" t="s">
        <v>414</v>
      </c>
      <c r="C236" s="19"/>
      <c r="D236" s="19" t="s">
        <v>73</v>
      </c>
      <c r="E236" s="77"/>
      <c r="F236" s="71" t="s">
        <v>415</v>
      </c>
      <c r="T236" s="63"/>
      <c r="U236" s="5"/>
      <c r="W236" s="5"/>
      <c r="X236" s="17"/>
      <c r="Y236" s="8"/>
      <c r="AC236" s="18"/>
    </row>
    <row r="237" spans="1:45">
      <c r="A237" s="19" t="s">
        <v>365</v>
      </c>
      <c r="B237" s="19" t="s">
        <v>1391</v>
      </c>
      <c r="C237" s="19"/>
      <c r="D237" s="19" t="s">
        <v>61</v>
      </c>
      <c r="E237" s="77"/>
      <c r="F237" s="71"/>
      <c r="G237" s="2" t="str">
        <f>HYPERLINK(CONCATENATE(TabelleURL!$B$1,"332_ADIF/332FD06.pdf"), "332FD06KA")</f>
        <v>332FD06KA</v>
      </c>
      <c r="M237" s="5" t="str">
        <f>HYPERLINK(CONCATENATE(TabelleURL!$B$1,"345_Signalbox/3450277.pdf"), "3450277")</f>
        <v>3450277</v>
      </c>
      <c r="P237" s="5" t="str">
        <f>HYPERLINK(CONCATENATE(TabelleURL!$B$1,"345_Signalbox/3450293-W.pdf"), "3450293-W")</f>
        <v>3450293-W</v>
      </c>
      <c r="R237" s="66" t="s">
        <v>11</v>
      </c>
      <c r="S237" s="67" t="s">
        <v>411</v>
      </c>
      <c r="T237" s="63"/>
      <c r="U237" s="5"/>
      <c r="W237" s="5"/>
      <c r="X237" s="17"/>
      <c r="Y237" s="8"/>
      <c r="AC237" s="18"/>
      <c r="AI237" s="5" t="str">
        <f>HYPERLINK(CONCATENATE(TabelleURL!$B$1,"3499_Taxi/34990044.pdf"), "34990044")</f>
        <v>34990044</v>
      </c>
      <c r="AP237" s="2" t="str">
        <f>HYPERLINK(CONCATENATE(TabelleURL!$B$1,"367/3674700.pdf"), "3674700")</f>
        <v>3674700</v>
      </c>
    </row>
    <row r="238" spans="1:45">
      <c r="A238" s="19" t="s">
        <v>365</v>
      </c>
      <c r="B238" s="19" t="s">
        <v>416</v>
      </c>
      <c r="C238" s="19" t="s">
        <v>417</v>
      </c>
      <c r="D238" s="19" t="s">
        <v>189</v>
      </c>
      <c r="E238" s="77"/>
      <c r="F238" s="71"/>
      <c r="G238" s="2" t="str">
        <f>HYPERLINK(CONCATENATE(TabelleURL!$B$1,"332_ADIF/332FD02.pdf"), "332FD02KA")</f>
        <v>332FD02KA</v>
      </c>
      <c r="T238" s="63">
        <v>3470003</v>
      </c>
      <c r="U238" s="5" t="s">
        <v>412</v>
      </c>
      <c r="W238" s="5"/>
      <c r="X238" s="17"/>
      <c r="Y238" s="8"/>
      <c r="AC238" s="18"/>
      <c r="AH238" s="4" t="str">
        <f>HYPERLINK(CONCATENATE(TabelleURL!$B$1,"346_CAN2com/346300XX.pdf"), "34630017")</f>
        <v>34630017</v>
      </c>
      <c r="AI238" s="5" t="str">
        <f>HYPERLINK(CONCATENATE(TabelleURL!$B$1,"3499_Taxi/34990040.pdf"), "34990040")</f>
        <v>34990040</v>
      </c>
      <c r="AR238" s="3" t="s">
        <v>418</v>
      </c>
    </row>
    <row r="239" spans="1:45">
      <c r="A239" s="19" t="s">
        <v>365</v>
      </c>
      <c r="B239" s="19" t="s">
        <v>416</v>
      </c>
      <c r="C239" s="19" t="s">
        <v>419</v>
      </c>
      <c r="D239" s="19" t="s">
        <v>116</v>
      </c>
      <c r="E239" s="77"/>
      <c r="F239" s="71"/>
      <c r="G239" s="2" t="str">
        <f>HYPERLINK(CONCATENATE(TabelleURL!$B$1,"332_ADIF/332FD06.pdf"), "332FD06KA")</f>
        <v>332FD06KA</v>
      </c>
      <c r="M239" s="5" t="str">
        <f>HYPERLINK(CONCATENATE(TabelleURL!$B$1,"345_Signalbox/3450277.pdf"), "3450277")</f>
        <v>3450277</v>
      </c>
      <c r="P239" s="5" t="str">
        <f>HYPERLINK(CONCATENATE(TabelleURL!$B$1,"345_Signalbox/3450293-W.pdf"), "3450293-W")</f>
        <v>3450293-W</v>
      </c>
      <c r="Q239" s="61" t="str">
        <f>HYPERLINK(CONCATENATE(TabelleURL!$B$1,"345_Signalbox/3450301.pdf"), "3450301")</f>
        <v>3450301</v>
      </c>
      <c r="R239" s="66" t="s">
        <v>11</v>
      </c>
      <c r="S239" s="86" t="str">
        <f>HYPERLINK(CONCATENATE(TabelleURL!$B$1,"341_RC_Interface/3414753.pdf"), "B-3414753")</f>
        <v>B-3414753</v>
      </c>
      <c r="T239" s="63"/>
      <c r="U239" s="5"/>
      <c r="W239" s="5"/>
      <c r="X239" s="17"/>
      <c r="Y239" s="8"/>
      <c r="AC239" s="18"/>
      <c r="AI239" s="5" t="str">
        <f>HYPERLINK(CONCATENATE(TabelleURL!$B$1,"3499_Taxi/34990044.pdf"), "34990044")</f>
        <v>34990044</v>
      </c>
      <c r="AP239" s="2" t="str">
        <f>HYPERLINK(CONCATENATE(TabelleURL!$B$1,"367/3674700.pdf"), "3674700")</f>
        <v>3674700</v>
      </c>
    </row>
    <row r="240" spans="1:45">
      <c r="A240" s="19" t="s">
        <v>365</v>
      </c>
      <c r="B240" s="19" t="s">
        <v>416</v>
      </c>
      <c r="C240" s="19" t="s">
        <v>419</v>
      </c>
      <c r="D240" s="19" t="s">
        <v>25</v>
      </c>
      <c r="E240" s="77" t="s">
        <v>1392</v>
      </c>
      <c r="F240" s="71"/>
      <c r="G240" s="2" t="str">
        <f>HYPERLINK(CONCATENATE(TabelleURL!$B$1,"332_ADIF/332FD08.pdf"), "332FD08KA")</f>
        <v>332FD08KA</v>
      </c>
      <c r="P240" s="5" t="str">
        <f>HYPERLINK(CONCATENATE(TabelleURL!$B$1,"345_Signalbox/3450293-W.pdf"), "3450293-W")</f>
        <v>3450293-W</v>
      </c>
      <c r="Q240" s="61" t="str">
        <f>HYPERLINK(CONCATENATE(TabelleURL!$B$1,"345_Signalbox/3450301.pdf"), "3450301")</f>
        <v>3450301</v>
      </c>
      <c r="T240" s="63"/>
      <c r="U240" s="5"/>
      <c r="W240" s="5"/>
      <c r="X240" s="17"/>
      <c r="Y240" s="8"/>
      <c r="AC240" s="18"/>
      <c r="AI240" s="5">
        <v>34990086</v>
      </c>
      <c r="AP240" s="2"/>
      <c r="AS240" s="84" t="str">
        <f>HYPERLINK(CONCATENATE(TabelleURL!$B$1,"339_MWS/B-339FD02.pdf"), "B-339FD02")</f>
        <v>B-339FD02</v>
      </c>
    </row>
    <row r="241" spans="1:42">
      <c r="A241" s="19" t="s">
        <v>365</v>
      </c>
      <c r="B241" s="19" t="s">
        <v>420</v>
      </c>
      <c r="C241" s="19" t="s">
        <v>409</v>
      </c>
      <c r="D241" s="19" t="s">
        <v>410</v>
      </c>
      <c r="E241" s="77"/>
      <c r="F241" s="71"/>
      <c r="G241" s="2" t="str">
        <f>HYPERLINK(CONCATENATE(TabelleURL!$B$1,"332_ADIF/332FD02.pdf"), "332FD02KA")</f>
        <v>332FD02KA</v>
      </c>
      <c r="R241" s="66" t="s">
        <v>11</v>
      </c>
      <c r="S241" s="67" t="str">
        <f>HYPERLINK(CONCATENATE(TabelleURL!$B$1,"341_RC_Interface/3414752.pdf"), "B-3414752")</f>
        <v>B-3414752</v>
      </c>
      <c r="T241" s="63">
        <v>3470003</v>
      </c>
      <c r="U241" s="5" t="s">
        <v>412</v>
      </c>
      <c r="W241" s="5" t="str">
        <f>HYPERLINK(CONCATENATE(TabelleURL!$B$1,"347_URI/3414752.pdf"), "B-3414752")</f>
        <v>B-3414752</v>
      </c>
      <c r="X241" s="17"/>
      <c r="Y241" s="8"/>
      <c r="AC241" s="18"/>
    </row>
    <row r="242" spans="1:42">
      <c r="A242" s="19" t="s">
        <v>365</v>
      </c>
      <c r="B242" s="19" t="s">
        <v>420</v>
      </c>
      <c r="C242" s="19" t="s">
        <v>413</v>
      </c>
      <c r="D242" s="19" t="s">
        <v>189</v>
      </c>
      <c r="E242" s="77"/>
      <c r="F242" s="71"/>
      <c r="G242" s="2" t="str">
        <f>HYPERLINK(CONCATENATE(TabelleURL!$B$1,"332_ADIF/332FD02.pdf"), "332FD02KA")</f>
        <v>332FD02KA</v>
      </c>
      <c r="R242" s="66" t="s">
        <v>11</v>
      </c>
      <c r="S242" s="67" t="str">
        <f>HYPERLINK(CONCATENATE(TabelleURL!$B$1,"341_RC_Interface/3414752.pdf"), "B-3414752")</f>
        <v>B-3414752</v>
      </c>
      <c r="T242" s="63">
        <v>3470003</v>
      </c>
      <c r="U242" s="5" t="s">
        <v>412</v>
      </c>
      <c r="W242" s="5" t="str">
        <f>HYPERLINK(CONCATENATE(TabelleURL!$B$1,"347_URI/3414752.pdf"), "B-3414752")</f>
        <v>B-3414752</v>
      </c>
      <c r="X242" s="17"/>
      <c r="Y242" s="8"/>
      <c r="AC242" s="18"/>
      <c r="AI242" s="5" t="str">
        <f>HYPERLINK(CONCATENATE(TabelleURL!$B$1,"3499_Taxi/34990043.pdf"), "34990043")</f>
        <v>34990043</v>
      </c>
    </row>
    <row r="243" spans="1:42">
      <c r="A243" s="19" t="s">
        <v>365</v>
      </c>
      <c r="B243" s="19" t="s">
        <v>420</v>
      </c>
      <c r="C243" s="19" t="s">
        <v>397</v>
      </c>
      <c r="D243" s="19" t="s">
        <v>19</v>
      </c>
      <c r="E243" s="77"/>
      <c r="F243" s="71"/>
      <c r="G243" s="2" t="str">
        <f>HYPERLINK(CONCATENATE(TabelleURL!$B$1,"332_ADIF/332FD03.pdf"), "332FD03KA")</f>
        <v>332FD03KA</v>
      </c>
      <c r="I243" s="2" t="str">
        <f>HYPERLINK(CONCATENATE(TabelleURL!$B$1,"342_ADIF/342FD03ZI.pdf"), "342FD03/0/ZI")</f>
        <v>342FD03/0/ZI</v>
      </c>
      <c r="P243" s="5" t="str">
        <f>HYPERLINK(CONCATENATE(TabelleURL!$B$1,"345_Signalbox/3450280-W.pdf"), "3450280-W")</f>
        <v>3450280-W</v>
      </c>
      <c r="Q243" s="5" t="str">
        <f>HYPERLINK(CONCATENATE(TabelleURL!$B$1,"345_Signalbox/3450480.pdf"), "3450480")</f>
        <v>3450480</v>
      </c>
      <c r="T243" s="63"/>
      <c r="U243" s="5"/>
      <c r="W243" s="5"/>
      <c r="X243" s="17"/>
      <c r="Y243" s="8"/>
      <c r="AC243" s="18"/>
      <c r="AH243" s="4" t="str">
        <f>HYPERLINK(CONCATENATE(TabelleURL!$B$1,"346_CAN2com/3475852.pdf"), "3475852")</f>
        <v>3475852</v>
      </c>
      <c r="AI243" s="5" t="str">
        <f>HYPERLINK(CONCATENATE(TabelleURL!$B$1,"3499_Taxi/34990073.pdf"), "34990073")</f>
        <v>34990073</v>
      </c>
    </row>
    <row r="244" spans="1:42">
      <c r="A244" s="19" t="s">
        <v>365</v>
      </c>
      <c r="B244" s="19" t="s">
        <v>421</v>
      </c>
      <c r="C244" s="19"/>
      <c r="D244" s="19" t="s">
        <v>116</v>
      </c>
      <c r="E244" s="77"/>
      <c r="F244" s="71" t="s">
        <v>415</v>
      </c>
      <c r="T244" s="63"/>
      <c r="U244" s="5"/>
      <c r="W244" s="5"/>
      <c r="X244" s="17"/>
      <c r="Y244" s="8"/>
      <c r="AC244" s="18"/>
    </row>
    <row r="245" spans="1:42">
      <c r="A245" s="19" t="s">
        <v>365</v>
      </c>
      <c r="B245" s="19" t="s">
        <v>1390</v>
      </c>
      <c r="C245" s="19"/>
      <c r="D245" s="19" t="s">
        <v>1420</v>
      </c>
      <c r="E245" s="77" t="s">
        <v>1421</v>
      </c>
      <c r="F245" s="71"/>
      <c r="G245" s="2" t="str">
        <f>HYPERLINK(CONCATENATE(TabelleURL!$B$1,"332_ADIF/332FD06.pdf"), "332FD06KA")</f>
        <v>332FD06KA</v>
      </c>
      <c r="M245" s="5" t="str">
        <f>HYPERLINK(CONCATENATE(TabelleURL!$B$1,"345_Signalbox/3450277.pdf"), "3450277")</f>
        <v>3450277</v>
      </c>
      <c r="P245" s="5" t="str">
        <f>HYPERLINK(CONCATENATE(TabelleURL!$B$1,"345_Signalbox/3450293-W.pdf"), "3450293-W")</f>
        <v>3450293-W</v>
      </c>
      <c r="Q245" s="61" t="str">
        <f>HYPERLINK(CONCATENATE(TabelleURL!$B$1,"345_Signalbox/3450301.pdf"), "3450301")</f>
        <v>3450301</v>
      </c>
      <c r="R245" s="66" t="s">
        <v>11</v>
      </c>
      <c r="S245" s="86" t="str">
        <f>HYPERLINK(CONCATENATE(TabelleURL!$B$1,"341_RC_Interface/3414753.pdf"), "B-3414753")</f>
        <v>B-3414753</v>
      </c>
      <c r="T245" s="63"/>
      <c r="U245" s="5"/>
      <c r="W245" s="5"/>
      <c r="X245" s="17"/>
      <c r="Y245" s="8"/>
      <c r="AC245" s="18"/>
      <c r="AI245" s="5" t="str">
        <f>HYPERLINK(CONCATENATE(TabelleURL!$B$1,"3499_Taxi/34990044.pdf"), "34990044")</f>
        <v>34990044</v>
      </c>
      <c r="AP245" s="2" t="str">
        <f>HYPERLINK(CONCATENATE(TabelleURL!$B$1,"367/3674700.pdf"), "3674700")</f>
        <v>3674700</v>
      </c>
    </row>
    <row r="246" spans="1:42">
      <c r="A246" s="19" t="s">
        <v>365</v>
      </c>
      <c r="B246" s="19" t="s">
        <v>1390</v>
      </c>
      <c r="C246" s="19"/>
      <c r="D246" s="19" t="s">
        <v>25</v>
      </c>
      <c r="E246" s="77" t="s">
        <v>1392</v>
      </c>
      <c r="F246" s="71"/>
      <c r="G246" s="2" t="str">
        <f>HYPERLINK(CONCATENATE(TabelleURL!$B$1,"332_ADIF/332FD08.pdf"), "332FD08KA")</f>
        <v>332FD08KA</v>
      </c>
      <c r="P246" s="5" t="str">
        <f>HYPERLINK(CONCATENATE(TabelleURL!$B$1,"345_Signalbox/3450293-W.pdf"), "3450293-W")</f>
        <v>3450293-W</v>
      </c>
      <c r="Q246" s="61" t="str">
        <f>HYPERLINK(CONCATENATE(TabelleURL!$B$1,"345_Signalbox/3450301.pdf"), "3450301")</f>
        <v>3450301</v>
      </c>
      <c r="T246" s="63"/>
      <c r="U246" s="5"/>
      <c r="W246" s="5"/>
      <c r="X246" s="17"/>
      <c r="Y246" s="8"/>
      <c r="AC246" s="18"/>
      <c r="AI246" s="5">
        <v>34990086</v>
      </c>
      <c r="AP246" s="2"/>
    </row>
    <row r="247" spans="1:42">
      <c r="A247" s="19" t="s">
        <v>422</v>
      </c>
      <c r="B247" s="19" t="s">
        <v>423</v>
      </c>
      <c r="C247" s="19"/>
      <c r="D247" s="19" t="s">
        <v>424</v>
      </c>
      <c r="E247" s="77"/>
      <c r="F247" s="71"/>
      <c r="R247" s="66" t="s">
        <v>45</v>
      </c>
      <c r="S247" s="67" t="str">
        <f>HYPERLINK(CONCATENATE(TabelleURL!$B$1,"341_RC_Interface/3414778.pdf"), "B-3414778")</f>
        <v>B-3414778</v>
      </c>
      <c r="T247" s="63"/>
      <c r="U247" s="5"/>
      <c r="W247" s="5" t="s">
        <v>425</v>
      </c>
      <c r="X247" s="17"/>
      <c r="Y247" s="8"/>
      <c r="AC247" s="18"/>
    </row>
    <row r="248" spans="1:42">
      <c r="A248" s="19" t="s">
        <v>422</v>
      </c>
      <c r="B248" s="19" t="s">
        <v>423</v>
      </c>
      <c r="C248" s="19" t="s">
        <v>211</v>
      </c>
      <c r="D248" s="19" t="s">
        <v>426</v>
      </c>
      <c r="E248" s="77"/>
      <c r="F248" s="71"/>
      <c r="G248" s="2" t="str">
        <f>HYPERLINK(CONCATENATE(TabelleURL!$B$1,"332_ADIF/332HD02.pdf"), "332HD02KA")</f>
        <v>332HD02KA</v>
      </c>
      <c r="I248" s="2" t="str">
        <f>HYPERLINK(CONCATENATE(TabelleURL!$B$1,"332_ADIF/332HD02ZI.pdf"), "332HD02/0/ZI")</f>
        <v>332HD02/0/ZI</v>
      </c>
      <c r="M248" s="5" t="str">
        <f>HYPERLINK(CONCATENATE(TabelleURL!$B$1,"345_Signalbox/3450274.pdf"), "3450274")</f>
        <v>3450274</v>
      </c>
      <c r="R248" s="66" t="s">
        <v>45</v>
      </c>
      <c r="S248" s="67" t="str">
        <f>HYPERLINK(CONCATENATE(TabelleURL!$B$1,"341_RC_Interface/3414778.pdf"), "B-3414778")</f>
        <v>B-3414778</v>
      </c>
      <c r="T248" s="63"/>
      <c r="U248" s="5"/>
      <c r="W248" s="5" t="s">
        <v>425</v>
      </c>
      <c r="X248" s="17"/>
      <c r="Y248" s="8"/>
      <c r="AC248" s="18"/>
    </row>
    <row r="249" spans="1:42">
      <c r="A249" s="19" t="s">
        <v>422</v>
      </c>
      <c r="B249" s="19" t="s">
        <v>423</v>
      </c>
      <c r="C249" s="19" t="s">
        <v>427</v>
      </c>
      <c r="D249" s="19" t="s">
        <v>19</v>
      </c>
      <c r="E249" s="77"/>
      <c r="F249" s="71"/>
      <c r="T249" s="63"/>
      <c r="U249" s="5"/>
      <c r="W249" s="5"/>
      <c r="X249" s="17"/>
      <c r="Y249" s="8"/>
      <c r="AC249" s="18"/>
    </row>
    <row r="250" spans="1:42">
      <c r="A250" s="19" t="s">
        <v>422</v>
      </c>
      <c r="B250" s="19" t="s">
        <v>428</v>
      </c>
      <c r="C250" s="19"/>
      <c r="D250" s="19" t="s">
        <v>86</v>
      </c>
      <c r="E250" s="77"/>
      <c r="F250" s="71"/>
      <c r="R250" s="66" t="s">
        <v>45</v>
      </c>
      <c r="S250" s="67" t="str">
        <f>HYPERLINK(CONCATENATE(TabelleURL!$B$1,"341_RC_Interface/3414778.pdf"), "B-3414778")</f>
        <v>B-3414778</v>
      </c>
      <c r="T250" s="63"/>
      <c r="U250" s="5"/>
      <c r="W250" s="5" t="s">
        <v>425</v>
      </c>
      <c r="X250" s="17"/>
      <c r="Y250" s="8"/>
      <c r="AC250" s="18"/>
    </row>
    <row r="251" spans="1:42">
      <c r="A251" s="19" t="s">
        <v>422</v>
      </c>
      <c r="B251" s="19" t="s">
        <v>429</v>
      </c>
      <c r="C251" s="19" t="s">
        <v>430</v>
      </c>
      <c r="D251" s="19" t="s">
        <v>8</v>
      </c>
      <c r="E251" s="77"/>
      <c r="F251" s="71"/>
      <c r="R251" s="66" t="s">
        <v>45</v>
      </c>
      <c r="S251" s="67" t="str">
        <f>HYPERLINK(CONCATENATE(TabelleURL!$B$1,"341_RC_Interface/3414796.pdf"), "B-3414796")</f>
        <v>B-3414796</v>
      </c>
      <c r="T251" s="63">
        <v>3470003</v>
      </c>
      <c r="U251" s="5" t="s">
        <v>431</v>
      </c>
      <c r="W251" s="5" t="s">
        <v>432</v>
      </c>
      <c r="X251" s="17"/>
      <c r="Y251" s="8"/>
      <c r="AC251" s="18"/>
    </row>
    <row r="252" spans="1:42">
      <c r="A252" s="19" t="s">
        <v>422</v>
      </c>
      <c r="B252" s="19" t="s">
        <v>429</v>
      </c>
      <c r="C252" s="19" t="s">
        <v>427</v>
      </c>
      <c r="D252" s="19" t="s">
        <v>405</v>
      </c>
      <c r="E252" s="77"/>
      <c r="F252" s="71"/>
      <c r="R252" s="66" t="s">
        <v>45</v>
      </c>
      <c r="S252" s="67" t="str">
        <f>HYPERLINK(CONCATENATE(TabelleURL!$B$1,"341_RC_Interface/3414778.pdf"), "B-3414778")</f>
        <v>B-3414778</v>
      </c>
      <c r="T252" s="63"/>
      <c r="U252" s="5"/>
      <c r="W252" s="5" t="s">
        <v>425</v>
      </c>
      <c r="X252" s="17"/>
      <c r="Y252" s="8"/>
      <c r="AC252" s="18"/>
    </row>
    <row r="253" spans="1:42">
      <c r="A253" s="19" t="s">
        <v>422</v>
      </c>
      <c r="B253" s="19" t="s">
        <v>429</v>
      </c>
      <c r="C253" s="19" t="s">
        <v>433</v>
      </c>
      <c r="D253" s="19" t="s">
        <v>73</v>
      </c>
      <c r="E253" s="77"/>
      <c r="F253" s="71"/>
      <c r="T253" s="63"/>
      <c r="U253" s="5"/>
      <c r="W253" s="5"/>
      <c r="X253" s="17"/>
      <c r="Y253" s="8"/>
      <c r="AC253" s="18"/>
    </row>
    <row r="254" spans="1:42">
      <c r="A254" s="19" t="s">
        <v>422</v>
      </c>
      <c r="B254" s="19" t="s">
        <v>434</v>
      </c>
      <c r="C254" s="19" t="s">
        <v>225</v>
      </c>
      <c r="D254" s="19" t="s">
        <v>112</v>
      </c>
      <c r="E254" s="77"/>
      <c r="F254" s="71"/>
      <c r="T254" s="63">
        <v>3470003</v>
      </c>
      <c r="U254" s="5" t="s">
        <v>435</v>
      </c>
      <c r="W254" s="5"/>
      <c r="X254" s="17"/>
      <c r="Y254" s="8"/>
      <c r="AC254" s="18"/>
    </row>
    <row r="255" spans="1:42">
      <c r="A255" s="19" t="s">
        <v>422</v>
      </c>
      <c r="B255" s="19" t="s">
        <v>434</v>
      </c>
      <c r="C255" s="19" t="s">
        <v>258</v>
      </c>
      <c r="D255" s="19" t="s">
        <v>436</v>
      </c>
      <c r="E255" s="77"/>
      <c r="F255" s="71"/>
      <c r="G255" s="2" t="str">
        <f>HYPERLINK(CONCATENATE(TabelleURL!$B$1,"342_ADIF/342HD01.pdf"), "342HD01/0")</f>
        <v>342HD01/0</v>
      </c>
      <c r="R255" s="66" t="s">
        <v>45</v>
      </c>
      <c r="S255" s="67" t="str">
        <f>HYPERLINK(CONCATENATE(TabelleURL!$B$1,"341_RC_Interface/3414796.pdf"), "B-3414796")</f>
        <v>B-3414796</v>
      </c>
      <c r="T255" s="63">
        <v>3470003</v>
      </c>
      <c r="U255" s="5" t="s">
        <v>431</v>
      </c>
      <c r="W255" s="5" t="s">
        <v>432</v>
      </c>
      <c r="X255" s="17"/>
      <c r="Y255" s="8"/>
      <c r="AC255" s="18"/>
    </row>
    <row r="256" spans="1:42" ht="22.5">
      <c r="A256" s="19" t="s">
        <v>422</v>
      </c>
      <c r="B256" s="19" t="s">
        <v>434</v>
      </c>
      <c r="C256" s="19" t="s">
        <v>305</v>
      </c>
      <c r="D256" s="19" t="s">
        <v>19</v>
      </c>
      <c r="E256" s="77"/>
      <c r="F256" s="71" t="s">
        <v>437</v>
      </c>
      <c r="G256" s="2" t="str">
        <f>HYPERLINK(CONCATENATE(TabelleURL!$B$1,"332_ADIF/332HD02.pdf"), "332HD02KA")</f>
        <v>332HD02KA</v>
      </c>
      <c r="I256" s="2" t="str">
        <f>HYPERLINK(CONCATENATE(TabelleURL!$B$1,"332_ADIF/332HD02ZI.pdf"), "332HD02/0/ZI")</f>
        <v>332HD02/0/ZI</v>
      </c>
      <c r="M256" s="9"/>
      <c r="P256" s="5" t="str">
        <f>HYPERLINK(CONCATENATE(TabelleURL!$B$1,"345_Signalbox/3450288-W.pdf"), "3450288-W")</f>
        <v>3450288-W</v>
      </c>
      <c r="T256" s="63"/>
      <c r="U256" s="5"/>
      <c r="W256" s="5"/>
      <c r="X256" s="17"/>
      <c r="Y256" s="8"/>
      <c r="AC256" s="18"/>
    </row>
    <row r="257" spans="1:29">
      <c r="A257" s="19" t="s">
        <v>422</v>
      </c>
      <c r="B257" s="19" t="s">
        <v>438</v>
      </c>
      <c r="C257" s="19"/>
      <c r="D257" s="19" t="s">
        <v>27</v>
      </c>
      <c r="E257" s="77"/>
      <c r="F257" s="71"/>
      <c r="R257" s="66" t="s">
        <v>45</v>
      </c>
      <c r="S257" s="67" t="str">
        <f>HYPERLINK(CONCATENATE(TabelleURL!$B$1,"341_RC_Interface/3414778.pdf"), "B-3414778")</f>
        <v>B-3414778</v>
      </c>
      <c r="T257" s="63"/>
      <c r="U257" s="5"/>
      <c r="W257" s="5" t="s">
        <v>425</v>
      </c>
      <c r="X257" s="17"/>
      <c r="Y257" s="8"/>
      <c r="AC257" s="18"/>
    </row>
    <row r="258" spans="1:29">
      <c r="A258" s="19" t="s">
        <v>422</v>
      </c>
      <c r="B258" s="19" t="s">
        <v>439</v>
      </c>
      <c r="C258" s="19"/>
      <c r="D258" s="19" t="s">
        <v>29</v>
      </c>
      <c r="E258" s="77"/>
      <c r="F258" s="71"/>
      <c r="R258" s="66" t="s">
        <v>45</v>
      </c>
      <c r="S258" s="67" t="str">
        <f>HYPERLINK(CONCATENATE(TabelleURL!$B$1,"341_RC_Interface/3414778.pdf"), "B-3414778")</f>
        <v>B-3414778</v>
      </c>
      <c r="T258" s="63"/>
      <c r="U258" s="5"/>
      <c r="W258" s="5" t="s">
        <v>425</v>
      </c>
      <c r="X258" s="17"/>
      <c r="Y258" s="8"/>
      <c r="AC258" s="18"/>
    </row>
    <row r="259" spans="1:29">
      <c r="A259" s="19" t="s">
        <v>422</v>
      </c>
      <c r="B259" s="19" t="s">
        <v>439</v>
      </c>
      <c r="C259" s="19" t="s">
        <v>440</v>
      </c>
      <c r="D259" s="19" t="s">
        <v>29</v>
      </c>
      <c r="E259" s="77"/>
      <c r="F259" s="71"/>
      <c r="R259" s="66" t="s">
        <v>45</v>
      </c>
      <c r="S259" s="67" t="str">
        <f>HYPERLINK(CONCATENATE(TabelleURL!$B$1,"341_RC_Interface/3414778.pdf"), "B-3414778")</f>
        <v>B-3414778</v>
      </c>
      <c r="T259" s="63"/>
      <c r="U259" s="5"/>
      <c r="W259" s="5" t="s">
        <v>425</v>
      </c>
      <c r="X259" s="17"/>
      <c r="Y259" s="8"/>
      <c r="AC259" s="18"/>
    </row>
    <row r="260" spans="1:29">
      <c r="A260" s="19" t="s">
        <v>422</v>
      </c>
      <c r="B260" s="19" t="s">
        <v>441</v>
      </c>
      <c r="C260" s="19"/>
      <c r="D260" s="19" t="s">
        <v>442</v>
      </c>
      <c r="E260" s="77"/>
      <c r="F260" s="71"/>
      <c r="R260" s="66" t="s">
        <v>45</v>
      </c>
      <c r="S260" s="67" t="str">
        <f>HYPERLINK(CONCATENATE(TabelleURL!$B$1,"341_RC_Interface/3414796.pdf"), "B-3414796")</f>
        <v>B-3414796</v>
      </c>
      <c r="T260" s="63">
        <v>3470003</v>
      </c>
      <c r="U260" s="5" t="s">
        <v>431</v>
      </c>
      <c r="W260" s="5" t="s">
        <v>432</v>
      </c>
      <c r="X260" s="17"/>
      <c r="Y260" s="8"/>
      <c r="AC260" s="18"/>
    </row>
    <row r="261" spans="1:29">
      <c r="A261" s="19" t="s">
        <v>422</v>
      </c>
      <c r="B261" s="19" t="s">
        <v>443</v>
      </c>
      <c r="C261" s="19" t="s">
        <v>225</v>
      </c>
      <c r="D261" s="19" t="s">
        <v>73</v>
      </c>
      <c r="E261" s="77"/>
      <c r="F261" s="71"/>
      <c r="G261" s="2" t="str">
        <f>HYPERLINK(CONCATENATE(TabelleURL!$B$1,"332_ADIF/332HD02.pdf"), "332HD02KA")</f>
        <v>332HD02KA</v>
      </c>
      <c r="I261" s="2" t="str">
        <f>HYPERLINK(CONCATENATE(TabelleURL!$B$1,"332_ADIF/332HD02ZI.pdf"), "332HD02/0/ZI")</f>
        <v>332HD02/0/ZI</v>
      </c>
      <c r="T261" s="63"/>
      <c r="U261" s="5"/>
      <c r="W261" s="5"/>
      <c r="X261" s="17"/>
      <c r="Y261" s="8"/>
      <c r="AC261" s="18"/>
    </row>
    <row r="262" spans="1:29">
      <c r="A262" s="19" t="s">
        <v>422</v>
      </c>
      <c r="B262" s="19" t="s">
        <v>444</v>
      </c>
      <c r="C262" s="19" t="s">
        <v>225</v>
      </c>
      <c r="D262" s="19" t="s">
        <v>213</v>
      </c>
      <c r="E262" s="77"/>
      <c r="F262" s="71"/>
      <c r="R262" s="66" t="s">
        <v>45</v>
      </c>
      <c r="S262" s="67" t="str">
        <f>HYPERLINK(CONCATENATE(TabelleURL!$B$1,"341_RC_Interface/3414778.pdf"), "B-3414778")</f>
        <v>B-3414778</v>
      </c>
      <c r="T262" s="63"/>
      <c r="U262" s="5"/>
      <c r="W262" s="5" t="s">
        <v>425</v>
      </c>
      <c r="X262" s="17"/>
      <c r="Y262" s="8"/>
      <c r="AC262" s="18"/>
    </row>
    <row r="263" spans="1:29">
      <c r="A263" s="1" t="s">
        <v>422</v>
      </c>
      <c r="B263" s="1" t="s">
        <v>445</v>
      </c>
      <c r="C263" s="1" t="s">
        <v>225</v>
      </c>
      <c r="D263" s="1" t="s">
        <v>269</v>
      </c>
      <c r="F263" s="71"/>
      <c r="T263" s="63"/>
      <c r="U263" s="5"/>
      <c r="W263" s="5"/>
      <c r="X263" s="17"/>
      <c r="Y263" s="8"/>
      <c r="AC263" s="18"/>
    </row>
    <row r="264" spans="1:29">
      <c r="A264" s="1" t="s">
        <v>422</v>
      </c>
      <c r="B264" s="1" t="s">
        <v>445</v>
      </c>
      <c r="C264" s="1" t="s">
        <v>258</v>
      </c>
      <c r="D264" s="1" t="s">
        <v>446</v>
      </c>
      <c r="F264" s="71"/>
      <c r="G264" s="2" t="str">
        <f>HYPERLINK(CONCATENATE(TabelleURL!$B$1,"342_ADIF/342HD01.pdf"), "342HD01/0")</f>
        <v>342HD01/0</v>
      </c>
      <c r="R264" s="66" t="s">
        <v>45</v>
      </c>
      <c r="S264" s="67" t="str">
        <f>HYPERLINK(CONCATENATE(TabelleURL!$B$1,"341_RC_Interface/3414778.pdf"), "B-3414778")</f>
        <v>B-3414778</v>
      </c>
      <c r="T264" s="63"/>
      <c r="U264" s="5"/>
      <c r="W264" s="5" t="s">
        <v>425</v>
      </c>
      <c r="X264" s="17"/>
      <c r="Y264" s="8"/>
      <c r="AC264" s="18"/>
    </row>
    <row r="265" spans="1:29">
      <c r="A265" s="1" t="s">
        <v>422</v>
      </c>
      <c r="B265" s="1" t="s">
        <v>447</v>
      </c>
      <c r="C265" s="1" t="s">
        <v>225</v>
      </c>
      <c r="D265" s="1" t="s">
        <v>29</v>
      </c>
      <c r="F265" s="71"/>
      <c r="R265" s="66" t="s">
        <v>45</v>
      </c>
      <c r="S265" s="67" t="str">
        <f>HYPERLINK(CONCATENATE(TabelleURL!$B$1,"341_RC_Interface/3414778.pdf"), "B-3414778")</f>
        <v>B-3414778</v>
      </c>
      <c r="T265" s="63"/>
      <c r="U265" s="5"/>
      <c r="W265" s="5" t="s">
        <v>425</v>
      </c>
      <c r="X265" s="17"/>
      <c r="Y265" s="8"/>
      <c r="AC265" s="18"/>
    </row>
    <row r="266" spans="1:29">
      <c r="A266" s="1" t="s">
        <v>422</v>
      </c>
      <c r="B266" s="1" t="s">
        <v>448</v>
      </c>
      <c r="D266" s="1" t="s">
        <v>27</v>
      </c>
      <c r="F266" s="71"/>
      <c r="R266" s="66" t="s">
        <v>45</v>
      </c>
      <c r="S266" s="67" t="str">
        <f>HYPERLINK(CONCATENATE(TabelleURL!$B$1,"341_RC_Interface/3414778.pdf"), "B-3414778")</f>
        <v>B-3414778</v>
      </c>
      <c r="T266" s="63"/>
      <c r="U266" s="5"/>
      <c r="W266" s="5" t="s">
        <v>425</v>
      </c>
      <c r="X266" s="17"/>
      <c r="Y266" s="8"/>
      <c r="AC266" s="18"/>
    </row>
    <row r="267" spans="1:29">
      <c r="A267" s="1" t="s">
        <v>422</v>
      </c>
      <c r="B267" s="1" t="s">
        <v>449</v>
      </c>
      <c r="D267" s="1" t="s">
        <v>29</v>
      </c>
      <c r="F267" s="71"/>
      <c r="R267" s="66" t="s">
        <v>45</v>
      </c>
      <c r="S267" s="67" t="str">
        <f>HYPERLINK(CONCATENATE(TabelleURL!$B$1,"341_RC_Interface/3414778.pdf"), "B-3414778")</f>
        <v>B-3414778</v>
      </c>
      <c r="T267" s="63"/>
      <c r="U267" s="5"/>
      <c r="W267" s="5" t="s">
        <v>425</v>
      </c>
      <c r="X267" s="17"/>
      <c r="Y267" s="8"/>
      <c r="AC267" s="18"/>
    </row>
    <row r="268" spans="1:29">
      <c r="A268" s="1" t="s">
        <v>450</v>
      </c>
      <c r="B268" s="1" t="s">
        <v>451</v>
      </c>
      <c r="D268" s="1" t="s">
        <v>410</v>
      </c>
      <c r="F268" s="71"/>
      <c r="R268" s="66" t="s">
        <v>6</v>
      </c>
      <c r="T268" s="63" t="s">
        <v>452</v>
      </c>
      <c r="U268" s="5" t="s">
        <v>453</v>
      </c>
      <c r="W268" s="5"/>
      <c r="X268" s="17"/>
      <c r="Y268" s="8"/>
      <c r="AC268" s="18"/>
    </row>
    <row r="269" spans="1:29">
      <c r="A269" s="1" t="s">
        <v>454</v>
      </c>
      <c r="B269" s="1" t="s">
        <v>455</v>
      </c>
      <c r="C269" s="1" t="s">
        <v>225</v>
      </c>
      <c r="D269" s="1" t="s">
        <v>213</v>
      </c>
      <c r="F269" s="71"/>
      <c r="T269" s="63"/>
      <c r="U269" s="5"/>
      <c r="W269" s="5"/>
      <c r="X269" s="17"/>
      <c r="Y269" s="8"/>
      <c r="AC269" s="18"/>
    </row>
    <row r="270" spans="1:29">
      <c r="A270" s="1" t="s">
        <v>454</v>
      </c>
      <c r="B270" s="1" t="s">
        <v>456</v>
      </c>
      <c r="D270" s="1" t="s">
        <v>27</v>
      </c>
      <c r="F270" s="71"/>
      <c r="R270" s="66" t="s">
        <v>11</v>
      </c>
      <c r="S270" s="67" t="str">
        <f>HYPERLINK(CONCATENATE(TabelleURL!$B$1,"341_RC_Interface/3414799-H.pdf"), "B-3414799-H")</f>
        <v>B-3414799-H</v>
      </c>
      <c r="T270" s="63"/>
      <c r="U270" s="5"/>
      <c r="W270" s="5" t="s">
        <v>457</v>
      </c>
      <c r="X270" s="17"/>
      <c r="Y270" s="8"/>
      <c r="AC270" s="18"/>
    </row>
    <row r="271" spans="1:29">
      <c r="A271" s="1" t="s">
        <v>454</v>
      </c>
      <c r="B271" s="1" t="s">
        <v>458</v>
      </c>
      <c r="D271" s="1" t="s">
        <v>27</v>
      </c>
      <c r="F271" s="71"/>
      <c r="T271" s="63"/>
      <c r="U271" s="5"/>
      <c r="W271" s="5"/>
      <c r="X271" s="17"/>
      <c r="Y271" s="8"/>
      <c r="AC271" s="18"/>
    </row>
    <row r="272" spans="1:29">
      <c r="A272" s="1" t="s">
        <v>454</v>
      </c>
      <c r="B272" s="1" t="s">
        <v>459</v>
      </c>
      <c r="D272" s="1" t="s">
        <v>27</v>
      </c>
      <c r="F272" s="71"/>
      <c r="T272" s="63"/>
      <c r="U272" s="5"/>
      <c r="W272" s="5"/>
      <c r="X272" s="17"/>
      <c r="Y272" s="8"/>
      <c r="AC272" s="18"/>
    </row>
    <row r="273" spans="1:29">
      <c r="A273" s="1" t="s">
        <v>454</v>
      </c>
      <c r="B273" s="1" t="s">
        <v>460</v>
      </c>
      <c r="C273" s="1" t="s">
        <v>219</v>
      </c>
      <c r="D273" s="1" t="s">
        <v>424</v>
      </c>
      <c r="F273" s="71"/>
      <c r="T273" s="63"/>
      <c r="U273" s="5"/>
      <c r="W273" s="5"/>
      <c r="X273" s="17"/>
      <c r="Y273" s="8"/>
      <c r="AC273" s="18"/>
    </row>
    <row r="274" spans="1:29">
      <c r="A274" s="1" t="s">
        <v>454</v>
      </c>
      <c r="B274" s="1" t="s">
        <v>460</v>
      </c>
      <c r="C274" s="1" t="s">
        <v>461</v>
      </c>
      <c r="D274" s="1" t="s">
        <v>462</v>
      </c>
      <c r="F274" s="71"/>
      <c r="L274" s="4" t="str">
        <f>HYPERLINK(CONCATENATE(TabelleURL!$B$1,"340_Helfer/3404799.pdf"), "3404799")</f>
        <v>3404799</v>
      </c>
      <c r="T274" s="63"/>
      <c r="U274" s="5"/>
      <c r="W274" s="5"/>
      <c r="X274" s="17"/>
      <c r="Y274" s="8"/>
      <c r="AC274" s="18"/>
    </row>
    <row r="275" spans="1:29">
      <c r="A275" s="1" t="s">
        <v>454</v>
      </c>
      <c r="B275" s="1" t="s">
        <v>460</v>
      </c>
      <c r="C275" s="1" t="s">
        <v>225</v>
      </c>
      <c r="D275" s="1" t="s">
        <v>19</v>
      </c>
      <c r="F275" s="71"/>
      <c r="L275" s="4" t="str">
        <f>HYPERLINK(CONCATENATE(TabelleURL!$B$1,"340_Helfer/3404799.pdf"), "3404799")</f>
        <v>3404799</v>
      </c>
      <c r="T275" s="63"/>
      <c r="U275" s="5"/>
      <c r="W275" s="5"/>
      <c r="X275" s="17"/>
      <c r="Y275" s="8"/>
      <c r="AC275" s="18"/>
    </row>
    <row r="276" spans="1:29">
      <c r="A276" s="1" t="s">
        <v>454</v>
      </c>
      <c r="B276" s="1" t="s">
        <v>463</v>
      </c>
      <c r="C276" s="1" t="s">
        <v>464</v>
      </c>
      <c r="D276" s="1" t="s">
        <v>195</v>
      </c>
      <c r="F276" s="71"/>
      <c r="L276" s="4" t="str">
        <f>HYPERLINK(CONCATENATE(TabelleURL!$B$1,"340_Helfer/3404799.pdf"), "3404799")</f>
        <v>3404799</v>
      </c>
      <c r="R276" s="66" t="s">
        <v>11</v>
      </c>
      <c r="S276" s="67" t="str">
        <f>HYPERLINK(CONCATENATE(TabelleURL!$B$1,"341_RC_Interface/3414798-H.pdf"), "B-3414798-H")</f>
        <v>B-3414798-H</v>
      </c>
      <c r="T276" s="63"/>
      <c r="U276" s="5"/>
      <c r="W276" s="5" t="s">
        <v>465</v>
      </c>
      <c r="X276" s="17"/>
      <c r="Y276" s="8"/>
      <c r="AC276" s="18"/>
    </row>
    <row r="277" spans="1:29">
      <c r="A277" s="1" t="s">
        <v>454</v>
      </c>
      <c r="B277" s="1" t="s">
        <v>463</v>
      </c>
      <c r="C277" s="1" t="s">
        <v>466</v>
      </c>
      <c r="D277" s="1" t="s">
        <v>116</v>
      </c>
      <c r="F277" s="71"/>
      <c r="L277" s="4" t="str">
        <f>HYPERLINK(CONCATENATE(TabelleURL!$B$1,"340_Helfer/3404799.pdf"), "3404799")</f>
        <v>3404799</v>
      </c>
      <c r="T277" s="63"/>
      <c r="U277" s="5"/>
      <c r="W277" s="5"/>
      <c r="X277" s="17"/>
      <c r="Y277" s="8"/>
      <c r="AC277" s="18"/>
    </row>
    <row r="278" spans="1:29">
      <c r="A278" s="1" t="s">
        <v>454</v>
      </c>
      <c r="B278" s="1" t="s">
        <v>467</v>
      </c>
      <c r="C278" s="1" t="s">
        <v>468</v>
      </c>
      <c r="D278" s="1" t="s">
        <v>298</v>
      </c>
      <c r="F278" s="71"/>
      <c r="R278" s="66" t="s">
        <v>11</v>
      </c>
      <c r="S278" s="67" t="str">
        <f>HYPERLINK(CONCATENATE(TabelleURL!$B$1,"341_RC_Interface/3414798-H.pdf"), "B-3414798-H")</f>
        <v>B-3414798-H</v>
      </c>
      <c r="T278" s="63"/>
      <c r="U278" s="5"/>
      <c r="W278" s="5" t="s">
        <v>465</v>
      </c>
      <c r="X278" s="17"/>
      <c r="Y278" s="8"/>
      <c r="AC278" s="18"/>
    </row>
    <row r="279" spans="1:29">
      <c r="A279" s="1" t="s">
        <v>454</v>
      </c>
      <c r="B279" s="1" t="s">
        <v>467</v>
      </c>
      <c r="C279" s="1" t="s">
        <v>469</v>
      </c>
      <c r="D279" s="1" t="s">
        <v>426</v>
      </c>
      <c r="F279" s="71"/>
      <c r="L279" s="4" t="str">
        <f>HYPERLINK(CONCATENATE(TabelleURL!$B$1,"340_Helfer/3404799.pdf"), "3404799")</f>
        <v>3404799</v>
      </c>
      <c r="R279" s="66" t="s">
        <v>11</v>
      </c>
      <c r="S279" s="67" t="str">
        <f>HYPERLINK(CONCATENATE(TabelleURL!$B$1,"341_RC_Interface/3414799-H.pdf"), "B-3414799-H")</f>
        <v>B-3414799-H</v>
      </c>
      <c r="T279" s="63"/>
      <c r="U279" s="5"/>
      <c r="W279" s="5" t="s">
        <v>457</v>
      </c>
      <c r="X279" s="17"/>
      <c r="Y279" s="8"/>
      <c r="AC279" s="18"/>
    </row>
    <row r="280" spans="1:29">
      <c r="A280" s="1" t="s">
        <v>454</v>
      </c>
      <c r="B280" s="1" t="s">
        <v>467</v>
      </c>
      <c r="C280" s="1" t="s">
        <v>470</v>
      </c>
      <c r="D280" s="1" t="s">
        <v>25</v>
      </c>
      <c r="F280" s="71"/>
      <c r="L280" s="4" t="str">
        <f>HYPERLINK(CONCATENATE(TabelleURL!$B$1,"340_Helfer/3404799.pdf"), "3404799")</f>
        <v>3404799</v>
      </c>
      <c r="P280" s="5" t="s">
        <v>1405</v>
      </c>
      <c r="R280" s="66" t="s">
        <v>11</v>
      </c>
      <c r="S280" s="67" t="str">
        <f>HYPERLINK(CONCATENATE(TabelleURL!$B$1,"341_RC_Interface/3414799-H.pdf"), "B-3414799-H")</f>
        <v>B-3414799-H</v>
      </c>
      <c r="T280" s="63"/>
      <c r="U280" s="5"/>
      <c r="W280" s="5" t="s">
        <v>457</v>
      </c>
      <c r="X280" s="17"/>
      <c r="Y280" s="8"/>
      <c r="AC280" s="18"/>
    </row>
    <row r="281" spans="1:29">
      <c r="A281" s="1" t="s">
        <v>454</v>
      </c>
      <c r="B281" s="1" t="s">
        <v>471</v>
      </c>
      <c r="D281" s="1" t="s">
        <v>426</v>
      </c>
      <c r="F281" s="71" t="s">
        <v>472</v>
      </c>
      <c r="L281" s="4" t="str">
        <f>HYPERLINK(CONCATENATE(TabelleURL!$B$1,"340_Helfer/3404799.pdf"), "3404799")</f>
        <v>3404799</v>
      </c>
      <c r="R281" s="66" t="s">
        <v>11</v>
      </c>
      <c r="S281" s="67" t="str">
        <f>HYPERLINK(CONCATENATE(TabelleURL!$B$1,"341_RC_Interface/3414799-H.pdf"), "B-3414799-H")</f>
        <v>B-3414799-H</v>
      </c>
      <c r="T281" s="63"/>
      <c r="U281" s="5"/>
      <c r="W281" s="5" t="s">
        <v>457</v>
      </c>
      <c r="X281" s="17"/>
      <c r="Y281" s="8"/>
      <c r="AC281" s="18"/>
    </row>
    <row r="282" spans="1:29">
      <c r="A282" s="1" t="s">
        <v>454</v>
      </c>
      <c r="B282" s="1" t="s">
        <v>471</v>
      </c>
      <c r="C282" s="1" t="s">
        <v>211</v>
      </c>
      <c r="D282" s="1" t="s">
        <v>73</v>
      </c>
      <c r="F282" s="71"/>
      <c r="L282" s="4" t="str">
        <f>HYPERLINK(CONCATENATE(TabelleURL!$B$1,"340_Helfer/3404799.pdf"), "3404799")</f>
        <v>3404799</v>
      </c>
      <c r="T282" s="63"/>
      <c r="U282" s="5"/>
      <c r="W282" s="5"/>
      <c r="X282" s="17"/>
      <c r="Y282" s="8"/>
      <c r="AC282" s="18"/>
    </row>
    <row r="283" spans="1:29">
      <c r="A283" s="1" t="s">
        <v>454</v>
      </c>
      <c r="B283" s="1" t="s">
        <v>477</v>
      </c>
      <c r="D283" s="1" t="s">
        <v>19</v>
      </c>
      <c r="F283" s="71"/>
      <c r="L283" s="4" t="str">
        <f>HYPERLINK(CONCATENATE(TabelleURL!$B$1,"340_Helfer/3404799.pdf"), "3404799")</f>
        <v>3404799</v>
      </c>
      <c r="R283" s="66" t="s">
        <v>11</v>
      </c>
      <c r="S283" s="67" t="str">
        <f>HYPERLINK(CONCATENATE(TabelleURL!$B$1,"341_RC_Interface/3414798-H.pdf"), "B-3414798-H")</f>
        <v>B-3414798-H</v>
      </c>
      <c r="T283" s="63"/>
      <c r="U283" s="5"/>
      <c r="W283" s="5" t="s">
        <v>465</v>
      </c>
      <c r="X283" s="17"/>
      <c r="Y283" s="8"/>
      <c r="AC283" s="18"/>
    </row>
    <row r="284" spans="1:29">
      <c r="A284" s="1" t="s">
        <v>454</v>
      </c>
      <c r="B284" s="1" t="s">
        <v>478</v>
      </c>
      <c r="D284" s="1" t="s">
        <v>213</v>
      </c>
      <c r="F284" s="71"/>
      <c r="L284" s="4" t="str">
        <f>HYPERLINK(CONCATENATE(TabelleURL!$B$1,"340_Helfer/3404799.pdf"), "3404799")</f>
        <v>3404799</v>
      </c>
      <c r="R284" s="66" t="s">
        <v>11</v>
      </c>
      <c r="S284" s="67" t="str">
        <f>HYPERLINK(CONCATENATE(TabelleURL!$B$1,"341_RC_Interface/3414799-H.pdf"), "B-3414799-H")</f>
        <v>B-3414799-H</v>
      </c>
      <c r="T284" s="63"/>
      <c r="U284" s="5"/>
      <c r="W284" s="5" t="s">
        <v>457</v>
      </c>
      <c r="X284" s="17"/>
      <c r="Y284" s="8"/>
      <c r="AC284" s="18"/>
    </row>
    <row r="285" spans="1:29">
      <c r="A285" s="1" t="s">
        <v>454</v>
      </c>
      <c r="B285" s="1" t="s">
        <v>479</v>
      </c>
      <c r="D285" s="1" t="s">
        <v>213</v>
      </c>
      <c r="E285" s="76" t="s">
        <v>480</v>
      </c>
      <c r="F285" s="71"/>
      <c r="L285" s="4" t="str">
        <f>HYPERLINK(CONCATENATE(TabelleURL!$B$1,"340_Helfer/3404799.pdf"), "3404799")</f>
        <v>3404799</v>
      </c>
      <c r="R285" s="66" t="s">
        <v>11</v>
      </c>
      <c r="S285" s="67" t="str">
        <f>HYPERLINK(CONCATENATE(TabelleURL!$B$1,"341_RC_Interface/3414798-H.pdf"), "B-3414798-H")</f>
        <v>B-3414798-H</v>
      </c>
      <c r="T285" s="63"/>
      <c r="U285" s="5"/>
      <c r="W285" s="5" t="s">
        <v>465</v>
      </c>
      <c r="X285" s="17"/>
      <c r="Y285" s="8"/>
      <c r="AC285" s="18"/>
    </row>
    <row r="286" spans="1:29">
      <c r="A286" s="1" t="s">
        <v>454</v>
      </c>
      <c r="B286" s="1" t="s">
        <v>473</v>
      </c>
      <c r="C286" s="1" t="s">
        <v>474</v>
      </c>
      <c r="D286" s="1" t="s">
        <v>436</v>
      </c>
      <c r="F286" s="71"/>
      <c r="G286" s="2" t="str">
        <f>HYPERLINK(CONCATENATE(TabelleURL!$B$1,"332_ADIF/332HY01.pdf"), "342HY01/0/KA")</f>
        <v>342HY01/0/KA</v>
      </c>
      <c r="R286" s="66" t="s">
        <v>11</v>
      </c>
      <c r="S286" s="67" t="str">
        <f>HYPERLINK(CONCATENATE(TabelleURL!$B$1,"341_RC_Interface/3414798-H.pdf"), "B-3414798-H")</f>
        <v>B-3414798-H</v>
      </c>
      <c r="T286" s="63"/>
      <c r="U286" s="5"/>
      <c r="W286" s="5" t="s">
        <v>465</v>
      </c>
      <c r="X286" s="17"/>
      <c r="Y286" s="8"/>
      <c r="AC286" s="18"/>
    </row>
    <row r="287" spans="1:29">
      <c r="A287" s="1" t="s">
        <v>454</v>
      </c>
      <c r="B287" s="1" t="s">
        <v>473</v>
      </c>
      <c r="C287" s="1" t="s">
        <v>475</v>
      </c>
      <c r="D287" s="1" t="s">
        <v>61</v>
      </c>
      <c r="F287" s="71" t="s">
        <v>476</v>
      </c>
      <c r="L287" s="4" t="str">
        <f>HYPERLINK(CONCATENATE(TabelleURL!$B$1,"340_Helfer/3404799.pdf"), "3404799")</f>
        <v>3404799</v>
      </c>
      <c r="P287" s="5" t="str">
        <f>HYPERLINK(CONCATENATE(TabelleURL!$B$1,"345_Signalbox/3450283-W.pdf"), "3450283-W")</f>
        <v>3450283-W</v>
      </c>
      <c r="T287" s="63"/>
      <c r="U287" s="5"/>
      <c r="W287" s="5"/>
      <c r="X287" s="17"/>
      <c r="Y287" s="8"/>
      <c r="AC287" s="18"/>
    </row>
    <row r="288" spans="1:29">
      <c r="A288" s="1" t="s">
        <v>454</v>
      </c>
      <c r="B288" s="1" t="s">
        <v>1381</v>
      </c>
      <c r="C288" s="1" t="s">
        <v>225</v>
      </c>
      <c r="D288" s="1" t="s">
        <v>263</v>
      </c>
      <c r="F288" s="71"/>
      <c r="L288" s="4" t="str">
        <f>HYPERLINK(CONCATENATE(TabelleURL!$B$1,"340_Helfer/3404799.pdf"), "3404799")</f>
        <v>3404799</v>
      </c>
      <c r="T288" s="63"/>
      <c r="U288" s="5"/>
      <c r="W288" s="5"/>
      <c r="X288" s="17"/>
      <c r="Y288" s="8"/>
      <c r="AC288" s="18"/>
    </row>
    <row r="289" spans="1:41">
      <c r="A289" s="1" t="s">
        <v>454</v>
      </c>
      <c r="B289" s="1" t="s">
        <v>1381</v>
      </c>
      <c r="C289" s="1" t="s">
        <v>258</v>
      </c>
      <c r="D289" s="82" t="s">
        <v>73</v>
      </c>
      <c r="F289" s="71"/>
      <c r="L289" s="4" t="str">
        <f>HYPERLINK(CONCATENATE(TabelleURL!$B$1,"340_Helfer/3404799.pdf"), "3404799")</f>
        <v>3404799</v>
      </c>
      <c r="T289" s="63"/>
      <c r="U289" s="5"/>
      <c r="W289" s="5"/>
      <c r="X289" s="17"/>
      <c r="Y289" s="8"/>
      <c r="AC289" s="18"/>
    </row>
    <row r="290" spans="1:41">
      <c r="A290" s="1" t="s">
        <v>1402</v>
      </c>
      <c r="B290" s="1" t="s">
        <v>1403</v>
      </c>
      <c r="D290" s="82" t="s">
        <v>73</v>
      </c>
      <c r="F290" s="71"/>
      <c r="P290" s="5" t="s">
        <v>1404</v>
      </c>
      <c r="T290" s="63"/>
      <c r="U290" s="5"/>
      <c r="W290" s="5"/>
      <c r="X290" s="17"/>
      <c r="Y290" s="8"/>
      <c r="AC290" s="18"/>
    </row>
    <row r="291" spans="1:41">
      <c r="A291" s="1" t="s">
        <v>481</v>
      </c>
      <c r="B291" s="1" t="s">
        <v>482</v>
      </c>
      <c r="C291" s="1" t="s">
        <v>225</v>
      </c>
      <c r="D291" s="1" t="s">
        <v>61</v>
      </c>
      <c r="F291" s="71"/>
      <c r="L291" s="4" t="str">
        <f>HYPERLINK(CONCATENATE(TabelleURL!$B$1,"340_Helfer/3404799.pdf"), "3404799")</f>
        <v>3404799</v>
      </c>
      <c r="R291" s="66" t="s">
        <v>11</v>
      </c>
      <c r="S291" s="67" t="str">
        <f>HYPERLINK(CONCATENATE(TabelleURL!$B$1,"341_RC_Interface/3414779.pdf"), "B-3414779")</f>
        <v>B-3414779</v>
      </c>
      <c r="T291" s="63"/>
      <c r="U291" s="5"/>
      <c r="W291" s="5" t="str">
        <f>HYPERLINK(CONCATENATE(TabelleURL!$B$1,"341_RC_Interface/3414779.pdf"), "B-3414779")</f>
        <v>B-3414779</v>
      </c>
      <c r="X291" s="17"/>
      <c r="Y291" s="8"/>
      <c r="AC291" s="18"/>
    </row>
    <row r="292" spans="1:41">
      <c r="A292" s="1" t="s">
        <v>483</v>
      </c>
      <c r="B292" s="1" t="s">
        <v>484</v>
      </c>
      <c r="D292" s="1" t="s">
        <v>210</v>
      </c>
      <c r="F292" s="71"/>
      <c r="G292" s="2" t="str">
        <f>HYPERLINK(CONCATENATE(TabelleURL!$B$1,"332_ADIF/332CI02.pdf"), "332CI02KA")</f>
        <v>332CI02KA</v>
      </c>
      <c r="R292" s="66" t="s">
        <v>11</v>
      </c>
      <c r="S292" s="67" t="str">
        <f>HYPERLINK(CONCATENATE(TabelleURL!$B$1,"347_URI/3474761.pdf"), "B-3474761")</f>
        <v>B-3474761</v>
      </c>
      <c r="T292" s="63">
        <v>3470006</v>
      </c>
      <c r="U292" s="5" t="s">
        <v>12</v>
      </c>
      <c r="W292" s="5"/>
      <c r="X292" s="17"/>
      <c r="Y292" s="8"/>
      <c r="AC292" s="18"/>
      <c r="AF292" s="8" t="str">
        <f>HYPERLINK(CONCATENATE(TabelleURL!$B$1,"340_Helfer/3404700.pdf"), "B-3404700")</f>
        <v>B-3404700</v>
      </c>
      <c r="AL292" s="3" t="s">
        <v>7</v>
      </c>
      <c r="AM292" s="7">
        <v>3450050</v>
      </c>
    </row>
    <row r="293" spans="1:41">
      <c r="A293" s="1" t="s">
        <v>483</v>
      </c>
      <c r="B293" s="1" t="s">
        <v>485</v>
      </c>
      <c r="D293" s="1" t="s">
        <v>97</v>
      </c>
      <c r="F293" s="71"/>
      <c r="G293" s="2" t="str">
        <f>HYPERLINK(CONCATENATE(TabelleURL!$B$1,"332_ADIF/332CI02.pdf"), "332CI02KA")</f>
        <v>332CI02KA</v>
      </c>
      <c r="M293" s="5" t="str">
        <f>HYPERLINK(CONCATENATE(TabelleURL!$B$1,"345_Signalbox/3450257.pdf"), "3450257")</f>
        <v>3450257</v>
      </c>
      <c r="R293" s="66" t="s">
        <v>11</v>
      </c>
      <c r="S293" s="67" t="str">
        <f>HYPERLINK(CONCATENATE(TabelleURL!$B$1,"347_URI/3474761.pdf"), "B-3474761")</f>
        <v>B-3474761</v>
      </c>
      <c r="T293" s="63">
        <v>3470006</v>
      </c>
      <c r="U293" s="5" t="s">
        <v>12</v>
      </c>
      <c r="W293" s="5"/>
      <c r="X293" s="17"/>
      <c r="Y293" s="8"/>
      <c r="AC293" s="18"/>
      <c r="AF293" s="8" t="str">
        <f>HYPERLINK(CONCATENATE(TabelleURL!$B$1,"340_Helfer/3404700.pdf"), "B-3404700")</f>
        <v>B-3404700</v>
      </c>
      <c r="AL293" s="3" t="s">
        <v>7</v>
      </c>
      <c r="AM293" s="7">
        <v>3450050</v>
      </c>
    </row>
    <row r="294" spans="1:41">
      <c r="A294" s="1" t="s">
        <v>483</v>
      </c>
      <c r="B294" s="1" t="s">
        <v>1430</v>
      </c>
      <c r="D294" s="1" t="s">
        <v>116</v>
      </c>
      <c r="F294" s="71" t="s">
        <v>1431</v>
      </c>
      <c r="G294" s="2" t="str">
        <f>HYPERLINK(CONCATENATE(TabelleURL!$B$1,"332_ADIF/332CI02.pdf"), "332CI02KA")</f>
        <v>332CI02KA</v>
      </c>
      <c r="M294" s="5" t="str">
        <f>HYPERLINK(CONCATENATE(TabelleURL!$B$1,"345_Signalbox/3450257.pdf"), "3450257")</f>
        <v>3450257</v>
      </c>
      <c r="R294" s="66" t="s">
        <v>11</v>
      </c>
      <c r="S294" s="67" t="str">
        <f>HYPERLINK(CONCATENATE(TabelleURL!$B$1,"347_URI/3474763.pdf"), "B-3474763")</f>
        <v>B-3474763</v>
      </c>
      <c r="T294" s="63">
        <v>3474763</v>
      </c>
      <c r="U294" s="5" t="s">
        <v>12</v>
      </c>
      <c r="W294" s="5"/>
      <c r="X294" s="17"/>
      <c r="Y294" s="8"/>
      <c r="AC294" s="18"/>
      <c r="AF294" s="8" t="str">
        <f>HYPERLINK(CONCATENATE(TabelleURL!$B$1,"340_Helfer/3404700.pdf"), "B-3404700")</f>
        <v>B-3404700</v>
      </c>
    </row>
    <row r="295" spans="1:41">
      <c r="A295" s="1" t="s">
        <v>483</v>
      </c>
      <c r="B295" s="1" t="s">
        <v>1442</v>
      </c>
      <c r="C295" s="1" t="s">
        <v>258</v>
      </c>
      <c r="D295" s="1" t="s">
        <v>29</v>
      </c>
      <c r="F295" s="71"/>
      <c r="S295" s="67" t="str">
        <f>HYPERLINK(CONCATENATE(TabelleURL!$B$1,"347_URI/3474762.pdf"), "B-3474762")</f>
        <v>B-3474762</v>
      </c>
      <c r="T295" s="63"/>
      <c r="U295" s="5"/>
      <c r="W295" s="5"/>
      <c r="X295" s="17"/>
      <c r="Y295" s="8"/>
      <c r="AC295" s="18"/>
    </row>
    <row r="296" spans="1:41">
      <c r="A296" s="1" t="s">
        <v>486</v>
      </c>
      <c r="B296" s="1" t="s">
        <v>487</v>
      </c>
      <c r="D296" s="1" t="s">
        <v>19</v>
      </c>
      <c r="F296" s="71"/>
      <c r="R296" s="66" t="s">
        <v>221</v>
      </c>
      <c r="S296" s="67" t="s">
        <v>488</v>
      </c>
      <c r="T296" s="63"/>
      <c r="U296" s="5"/>
      <c r="V296" s="4" t="s">
        <v>488</v>
      </c>
      <c r="W296" s="5"/>
      <c r="X296" s="17"/>
      <c r="Y296" s="8"/>
      <c r="AC296" s="18"/>
    </row>
    <row r="297" spans="1:41">
      <c r="A297" s="1" t="s">
        <v>489</v>
      </c>
      <c r="B297" s="1" t="s">
        <v>1377</v>
      </c>
      <c r="C297" s="1" t="s">
        <v>1378</v>
      </c>
      <c r="D297" s="82" t="s">
        <v>25</v>
      </c>
      <c r="F297" s="71"/>
      <c r="T297" s="63"/>
      <c r="U297" s="5"/>
      <c r="W297" s="5"/>
      <c r="X297" s="17"/>
      <c r="Y297" s="8"/>
      <c r="AC297" s="18"/>
    </row>
    <row r="298" spans="1:41">
      <c r="A298" s="1" t="s">
        <v>489</v>
      </c>
      <c r="B298" s="1" t="s">
        <v>1376</v>
      </c>
      <c r="C298" s="1" t="s">
        <v>1379</v>
      </c>
      <c r="D298" s="82" t="s">
        <v>73</v>
      </c>
      <c r="F298" s="71"/>
      <c r="T298" s="63"/>
      <c r="U298" s="5"/>
      <c r="W298" s="5"/>
      <c r="X298" s="17"/>
      <c r="Y298" s="8"/>
      <c r="AC298" s="18"/>
      <c r="AO298" s="7" t="s">
        <v>1380</v>
      </c>
    </row>
    <row r="299" spans="1:41">
      <c r="A299" s="1" t="s">
        <v>489</v>
      </c>
      <c r="B299" s="1" t="s">
        <v>290</v>
      </c>
      <c r="C299" s="1" t="s">
        <v>490</v>
      </c>
      <c r="D299" s="1" t="s">
        <v>172</v>
      </c>
      <c r="F299" s="71"/>
      <c r="T299" s="63"/>
      <c r="U299" s="5"/>
      <c r="W299" s="5"/>
      <c r="X299" s="17"/>
      <c r="Y299" s="8"/>
      <c r="AC299" s="18"/>
    </row>
    <row r="300" spans="1:41">
      <c r="A300" s="1" t="s">
        <v>489</v>
      </c>
      <c r="B300" s="1" t="s">
        <v>290</v>
      </c>
      <c r="C300" s="1" t="s">
        <v>491</v>
      </c>
      <c r="D300" s="1" t="s">
        <v>73</v>
      </c>
      <c r="F300" s="71"/>
      <c r="G300" s="2" t="str">
        <f>HYPERLINK(CONCATENATE(TabelleURL!$B$1,"332_ADIF/332JA04.pdf"), "332JA04/0")</f>
        <v>332JA04/0</v>
      </c>
      <c r="T300" s="63"/>
      <c r="U300" s="5"/>
      <c r="W300" s="5"/>
      <c r="X300" s="17"/>
      <c r="Y300" s="8"/>
      <c r="AC300" s="18"/>
      <c r="AI300" s="5" t="str">
        <f>HYPERLINK(CONCATENATE(TabelleURL!$B$1,"3499_Taxi/34990087.pdf"), "34990087")</f>
        <v>34990087</v>
      </c>
    </row>
    <row r="301" spans="1:41">
      <c r="A301" s="1" t="s">
        <v>489</v>
      </c>
      <c r="B301" s="1" t="s">
        <v>492</v>
      </c>
      <c r="D301" s="1" t="s">
        <v>114</v>
      </c>
      <c r="F301" s="71"/>
      <c r="G301" s="2" t="str">
        <f>HYPERLINK(CONCATENATE(TabelleURL!$B$1,"342_ADIF/342JA01.pdf"), "342JA01/0")</f>
        <v>342JA01/0</v>
      </c>
      <c r="T301" s="63"/>
      <c r="U301" s="5"/>
      <c r="W301" s="5"/>
      <c r="X301" s="17"/>
      <c r="Y301" s="8"/>
      <c r="AC301" s="18"/>
    </row>
    <row r="302" spans="1:41">
      <c r="A302" s="1" t="s">
        <v>489</v>
      </c>
      <c r="B302" s="1" t="s">
        <v>493</v>
      </c>
      <c r="F302" s="71"/>
      <c r="G302" s="2" t="str">
        <f>HYPERLINK(CONCATENATE(TabelleURL!$B$1,"332_ADIF/332JA04.pdf"), "332JA04/0")</f>
        <v>332JA04/0</v>
      </c>
      <c r="T302" s="63"/>
      <c r="U302" s="5"/>
      <c r="W302" s="5"/>
      <c r="X302" s="17"/>
      <c r="Y302" s="8"/>
      <c r="AC302" s="18"/>
    </row>
    <row r="303" spans="1:41">
      <c r="A303" s="1" t="s">
        <v>494</v>
      </c>
      <c r="B303" s="1" t="s">
        <v>495</v>
      </c>
      <c r="C303" s="1" t="s">
        <v>496</v>
      </c>
      <c r="D303" s="1" t="s">
        <v>8</v>
      </c>
      <c r="E303" s="76" t="s">
        <v>220</v>
      </c>
      <c r="F303" s="71"/>
      <c r="G303" s="2" t="str">
        <f>HYPERLINK(CONCATENATE(TabelleURL!$B$1,"332_ADIF/332GC01KA.pdf"), "332GC01KA")</f>
        <v>332GC01KA</v>
      </c>
      <c r="R303" s="66" t="s">
        <v>221</v>
      </c>
      <c r="S303" s="67" t="str">
        <f>HYPERLINK(CONCATENATE(TabelleURL!$B$1,"347_URI/3474780.pdf"), "B-3474780")</f>
        <v>B-3474780</v>
      </c>
      <c r="T303" s="63">
        <v>3474780</v>
      </c>
      <c r="U303" s="5" t="s">
        <v>222</v>
      </c>
      <c r="W303" s="5"/>
      <c r="X303" s="17"/>
      <c r="Y303" s="8"/>
      <c r="AC303" s="18"/>
      <c r="AF303" s="8" t="str">
        <f>HYPERLINK(CONCATENATE(TabelleURL!$B$1,"340_Helfer/3404700.pdf"), "B-3404700")</f>
        <v>B-3404700</v>
      </c>
      <c r="AL303" s="3" t="s">
        <v>7</v>
      </c>
    </row>
    <row r="304" spans="1:41">
      <c r="A304" s="1" t="s">
        <v>494</v>
      </c>
      <c r="B304" s="1" t="s">
        <v>495</v>
      </c>
      <c r="C304" s="1" t="s">
        <v>496</v>
      </c>
      <c r="D304" s="1" t="s">
        <v>8</v>
      </c>
      <c r="E304" s="76" t="s">
        <v>223</v>
      </c>
      <c r="F304" s="71"/>
      <c r="G304" s="2" t="str">
        <f>HYPERLINK(CONCATENATE(TabelleURL!$B$1,"332_ADIF/332GC01KA.pdf"), "332GC01KA")</f>
        <v>332GC01KA</v>
      </c>
      <c r="R304" s="66" t="s">
        <v>221</v>
      </c>
      <c r="S304" s="67" t="str">
        <f>HYPERLINK(CONCATENATE(TabelleURL!$B$1,"347_URI/3474780.pdf"), "B-3474781")</f>
        <v>B-3474781</v>
      </c>
      <c r="T304" s="63">
        <v>3474780</v>
      </c>
      <c r="U304" s="5" t="s">
        <v>224</v>
      </c>
      <c r="W304" s="5"/>
      <c r="X304" s="17"/>
      <c r="Y304" s="8"/>
      <c r="AC304" s="18"/>
      <c r="AF304" s="8" t="str">
        <f>HYPERLINK(CONCATENATE(TabelleURL!$B$1,"340_Helfer/3404700.pdf"), "B-3404700")</f>
        <v>B-3404700</v>
      </c>
      <c r="AL304" s="3" t="s">
        <v>7</v>
      </c>
    </row>
    <row r="305" spans="1:38">
      <c r="A305" s="1" t="s">
        <v>494</v>
      </c>
      <c r="B305" s="1" t="s">
        <v>497</v>
      </c>
      <c r="C305" s="1" t="s">
        <v>498</v>
      </c>
      <c r="D305" s="1" t="s">
        <v>21</v>
      </c>
      <c r="E305" s="76" t="s">
        <v>220</v>
      </c>
      <c r="F305" s="71"/>
      <c r="G305" s="2" t="str">
        <f>HYPERLINK(CONCATENATE(TabelleURL!$B$1,"332_ADIF/332GC01KA.pdf"), "332GC01KA")</f>
        <v>332GC01KA</v>
      </c>
      <c r="M305" s="5" t="str">
        <f>HYPERLINK(CONCATENATE(TabelleURL!$B$1,"345_Signalbox/3450291.pdf"), "3450291")</f>
        <v>3450291</v>
      </c>
      <c r="P305" s="5" t="str">
        <f>HYPERLINK(CONCATENATE(TabelleURL!$B$1,"345_Signalbox/3450291-W.pdf"), "3450291-W")</f>
        <v>3450291-W</v>
      </c>
      <c r="R305" s="66" t="s">
        <v>221</v>
      </c>
      <c r="S305" s="67" t="str">
        <f>HYPERLINK(CONCATENATE(TabelleURL!$B$1,"347_URI/3474780.pdf"), "B-3474780")</f>
        <v>B-3474780</v>
      </c>
      <c r="T305" s="63">
        <v>3474780</v>
      </c>
      <c r="U305" s="5" t="s">
        <v>222</v>
      </c>
      <c r="W305" s="5"/>
      <c r="X305" s="17"/>
      <c r="Y305" s="8"/>
      <c r="AC305" s="18"/>
      <c r="AF305" s="8" t="str">
        <f>HYPERLINK(CONCATENATE(TabelleURL!$B$1,"340_Helfer/3404700.pdf"), "B-3404700")</f>
        <v>B-3404700</v>
      </c>
      <c r="AL305" s="3" t="s">
        <v>7</v>
      </c>
    </row>
    <row r="306" spans="1:38">
      <c r="A306" s="1" t="s">
        <v>494</v>
      </c>
      <c r="B306" s="1" t="s">
        <v>497</v>
      </c>
      <c r="C306" s="1" t="s">
        <v>498</v>
      </c>
      <c r="D306" s="1" t="s">
        <v>21</v>
      </c>
      <c r="E306" s="76" t="s">
        <v>223</v>
      </c>
      <c r="F306" s="71"/>
      <c r="G306" s="2" t="str">
        <f>HYPERLINK(CONCATENATE(TabelleURL!$B$1,"332_ADIF/332GC01KA.pdf"), "332GC01KA")</f>
        <v>332GC01KA</v>
      </c>
      <c r="M306" s="5" t="str">
        <f>HYPERLINK(CONCATENATE(TabelleURL!$B$1,"345_Signalbox/3450291.pdf"), "3450291")</f>
        <v>3450291</v>
      </c>
      <c r="P306" s="5" t="str">
        <f>HYPERLINK(CONCATENATE(TabelleURL!$B$1,"345_Signalbox/3450291-W.pdf"), "3450291-W")</f>
        <v>3450291-W</v>
      </c>
      <c r="R306" s="66" t="s">
        <v>221</v>
      </c>
      <c r="S306" s="67" t="str">
        <f>HYPERLINK(CONCATENATE(TabelleURL!$B$1,"347_URI/3474780.pdf"), "B-3474781")</f>
        <v>B-3474781</v>
      </c>
      <c r="T306" s="63">
        <v>3474780</v>
      </c>
      <c r="U306" s="5" t="s">
        <v>224</v>
      </c>
      <c r="W306" s="5"/>
      <c r="X306" s="17"/>
      <c r="Y306" s="8"/>
      <c r="AC306" s="18"/>
      <c r="AF306" s="8" t="str">
        <f>HYPERLINK(CONCATENATE(TabelleURL!$B$1,"340_Helfer/3404700.pdf"), "B-3404700")</f>
        <v>B-3404700</v>
      </c>
      <c r="AL306" s="3" t="s">
        <v>7</v>
      </c>
    </row>
    <row r="307" spans="1:38">
      <c r="A307" s="1" t="s">
        <v>494</v>
      </c>
      <c r="B307" s="1" t="s">
        <v>497</v>
      </c>
      <c r="C307" s="1" t="s">
        <v>499</v>
      </c>
      <c r="D307" s="1" t="s">
        <v>500</v>
      </c>
      <c r="F307" s="71"/>
      <c r="G307" s="2" t="str">
        <f>HYPERLINK(CONCATENATE(TabelleURL!$B$1,"332_ADIF/332GC01KA.pdf"), "332GC01KA")</f>
        <v>332GC01KA</v>
      </c>
      <c r="M307" s="5" t="str">
        <f>HYPERLINK(CONCATENATE(TabelleURL!$B$1,"345_Signalbox/3450291.pdf"), "3450291")</f>
        <v>3450291</v>
      </c>
      <c r="P307" s="5" t="str">
        <f>HYPERLINK(CONCATENATE(TabelleURL!$B$1,"345_Signalbox/3450291-W.pdf"), "3450291-W")</f>
        <v>3450291-W</v>
      </c>
      <c r="T307" s="63"/>
      <c r="U307" s="5"/>
      <c r="W307" s="5"/>
      <c r="X307" s="17"/>
      <c r="Y307" s="8"/>
      <c r="AC307" s="18"/>
    </row>
    <row r="308" spans="1:38">
      <c r="A308" s="1" t="s">
        <v>494</v>
      </c>
      <c r="B308" s="1" t="s">
        <v>497</v>
      </c>
      <c r="C308" s="1" t="s">
        <v>501</v>
      </c>
      <c r="D308" s="1" t="s">
        <v>116</v>
      </c>
      <c r="F308" s="71"/>
      <c r="G308" s="2" t="str">
        <f>HYPERLINK(CONCATENATE(TabelleURL!$B$1,"332_ADIF/332GC01KA.pdf"), "332GC01KA")</f>
        <v>332GC01KA</v>
      </c>
      <c r="M308" s="5" t="s">
        <v>502</v>
      </c>
      <c r="P308" s="5" t="str">
        <f>HYPERLINK(CONCATENATE(TabelleURL!$B$1,"345_Signalbox/3450291-W.pdf"), "3450291-W")</f>
        <v>3450291-W</v>
      </c>
      <c r="T308" s="63"/>
      <c r="U308" s="5"/>
      <c r="W308" s="5"/>
      <c r="X308" s="17"/>
      <c r="Y308" s="8"/>
      <c r="AC308" s="18"/>
    </row>
    <row r="309" spans="1:38">
      <c r="A309" s="1" t="s">
        <v>494</v>
      </c>
      <c r="B309" s="1" t="s">
        <v>503</v>
      </c>
      <c r="C309" s="1" t="s">
        <v>504</v>
      </c>
      <c r="D309" s="1" t="s">
        <v>251</v>
      </c>
      <c r="F309" s="71"/>
      <c r="G309" s="2" t="str">
        <f>HYPERLINK(CONCATENATE(TabelleURL!$B$1,"332_ADIF/332GC01KA.pdf"), "332GC01KA")</f>
        <v>332GC01KA</v>
      </c>
      <c r="M309" s="5" t="str">
        <f>HYPERLINK(CONCATENATE(TabelleURL!$B$1,"345_Signalbox/3450291.pdf"), "3450291")</f>
        <v>3450291</v>
      </c>
      <c r="P309" s="5" t="str">
        <f>HYPERLINK(CONCATENATE(TabelleURL!$B$1,"345_Signalbox/3450291-W.pdf"), "3450291-W")</f>
        <v>3450291-W</v>
      </c>
      <c r="T309" s="63"/>
      <c r="U309" s="5"/>
      <c r="W309" s="5"/>
      <c r="X309" s="17"/>
      <c r="Y309" s="8"/>
      <c r="AC309" s="18"/>
    </row>
    <row r="310" spans="1:38">
      <c r="A310" s="1" t="s">
        <v>505</v>
      </c>
      <c r="B310" s="1" t="s">
        <v>506</v>
      </c>
      <c r="D310" s="1" t="s">
        <v>201</v>
      </c>
      <c r="F310" s="71"/>
      <c r="T310" s="63">
        <v>3470014</v>
      </c>
      <c r="U310" s="5" t="s">
        <v>507</v>
      </c>
      <c r="W310" s="5"/>
      <c r="X310" s="17"/>
      <c r="Y310" s="8"/>
      <c r="AC310" s="18"/>
    </row>
    <row r="311" spans="1:38">
      <c r="A311" s="1" t="s">
        <v>505</v>
      </c>
      <c r="B311" s="1" t="s">
        <v>506</v>
      </c>
      <c r="D311" s="1" t="s">
        <v>349</v>
      </c>
      <c r="F311" s="71"/>
      <c r="L311" s="4" t="str">
        <f>HYPERLINK(CONCATENATE(TabelleURL!$B$1,"340_Helfer/3404799.pdf"), "3404799")</f>
        <v>3404799</v>
      </c>
      <c r="R311" s="66" t="s">
        <v>11</v>
      </c>
      <c r="S311" s="67" t="str">
        <f>HYPERLINK(CONCATENATE(TabelleURL!$B$1,"341_RC_Interface/3414798-K.pdf"), "B-3414798-K")</f>
        <v>B-3414798-K</v>
      </c>
      <c r="T311" s="63"/>
      <c r="U311" s="5"/>
      <c r="W311" s="5" t="s">
        <v>508</v>
      </c>
      <c r="X311" s="17"/>
      <c r="Y311" s="8"/>
      <c r="AC311" s="18"/>
    </row>
    <row r="312" spans="1:38">
      <c r="A312" s="1" t="s">
        <v>505</v>
      </c>
      <c r="B312" s="1" t="s">
        <v>506</v>
      </c>
      <c r="D312" s="1" t="s">
        <v>61</v>
      </c>
      <c r="F312" s="71"/>
      <c r="L312" s="4" t="str">
        <f>HYPERLINK(CONCATENATE(TabelleURL!$B$1,"340_Helfer/3404799.pdf"), "3404799")</f>
        <v>3404799</v>
      </c>
      <c r="R312" s="66" t="s">
        <v>11</v>
      </c>
      <c r="S312" s="67" t="str">
        <f>HYPERLINK(CONCATENATE(TabelleURL!$B$1,"341_RC_Interface/3414799-K.pdf"), "B-3414799-K")</f>
        <v>B-3414799-K</v>
      </c>
      <c r="T312" s="63"/>
      <c r="U312" s="5"/>
      <c r="W312" s="5" t="s">
        <v>509</v>
      </c>
      <c r="X312" s="17"/>
      <c r="Y312" s="8"/>
      <c r="AC312" s="18"/>
    </row>
    <row r="313" spans="1:38">
      <c r="A313" s="1" t="s">
        <v>505</v>
      </c>
      <c r="B313" s="1" t="s">
        <v>510</v>
      </c>
      <c r="C313" s="1" t="s">
        <v>258</v>
      </c>
      <c r="D313" s="1" t="s">
        <v>511</v>
      </c>
      <c r="F313" s="71"/>
      <c r="L313" s="4" t="str">
        <f>HYPERLINK(CONCATENATE(TabelleURL!$B$1,"340_Helfer/3404799.pdf"), "3404799")</f>
        <v>3404799</v>
      </c>
      <c r="R313" s="66" t="s">
        <v>11</v>
      </c>
      <c r="S313" s="67" t="str">
        <f>HYPERLINK(CONCATENATE(TabelleURL!$B$1,"341_RC_Interface/3414798-K.pdf"), "B-3414798-K")</f>
        <v>B-3414798-K</v>
      </c>
      <c r="T313" s="63"/>
      <c r="U313" s="5"/>
      <c r="W313" s="5" t="s">
        <v>508</v>
      </c>
      <c r="X313" s="17"/>
      <c r="Y313" s="8"/>
      <c r="AC313" s="18"/>
    </row>
    <row r="314" spans="1:38">
      <c r="A314" s="1" t="s">
        <v>512</v>
      </c>
      <c r="B314" s="1" t="s">
        <v>510</v>
      </c>
      <c r="C314" s="1" t="s">
        <v>305</v>
      </c>
      <c r="D314" s="1" t="s">
        <v>19</v>
      </c>
      <c r="F314" s="71"/>
      <c r="L314" s="4" t="str">
        <f>HYPERLINK(CONCATENATE(TabelleURL!$B$1,"340_Helfer/3404799.pdf"), "3404799")</f>
        <v>3404799</v>
      </c>
      <c r="M314" s="5" t="str">
        <f>HYPERLINK(CONCATENATE(TabelleURL!$B$1,"345_Signalbox/3450279.pdf"), "3450279")</f>
        <v>3450279</v>
      </c>
      <c r="R314" s="66" t="s">
        <v>11</v>
      </c>
      <c r="S314" s="67" t="str">
        <f>HYPERLINK(CONCATENATE(TabelleURL!$B$1,"341_RC_Interface/3414799-K.pdf"), "B-3414799-K")</f>
        <v>B-3414799-K</v>
      </c>
      <c r="T314" s="63"/>
      <c r="U314" s="5"/>
      <c r="W314" s="5" t="s">
        <v>509</v>
      </c>
      <c r="X314" s="17"/>
      <c r="Y314" s="8"/>
      <c r="AC314" s="18"/>
    </row>
    <row r="315" spans="1:38">
      <c r="A315" s="1" t="s">
        <v>505</v>
      </c>
      <c r="B315" s="1" t="s">
        <v>513</v>
      </c>
      <c r="D315" s="1" t="s">
        <v>29</v>
      </c>
      <c r="F315" s="71"/>
      <c r="L315" s="4" t="str">
        <f>HYPERLINK(CONCATENATE(TabelleURL!$B$1,"340_Helfer/3404799.pdf"), "3404799")</f>
        <v>3404799</v>
      </c>
      <c r="R315" s="66" t="s">
        <v>11</v>
      </c>
      <c r="S315" s="67" t="str">
        <f>HYPERLINK(CONCATENATE(TabelleURL!$B$1,"341_RC_Interface/3414798-K.pdf"), "B-3414798-K")</f>
        <v>B-3414798-K</v>
      </c>
      <c r="T315" s="63"/>
      <c r="U315" s="5"/>
      <c r="W315" s="5" t="s">
        <v>508</v>
      </c>
      <c r="X315" s="17"/>
      <c r="Y315" s="8"/>
      <c r="AC315" s="18"/>
    </row>
    <row r="316" spans="1:38">
      <c r="A316" s="1" t="s">
        <v>505</v>
      </c>
      <c r="B316" s="1" t="s">
        <v>514</v>
      </c>
      <c r="D316" s="1" t="s">
        <v>29</v>
      </c>
      <c r="F316" s="71"/>
      <c r="L316" s="4" t="str">
        <f>HYPERLINK(CONCATENATE(TabelleURL!$B$1,"340_Helfer/3404799.pdf"), "3404799")</f>
        <v>3404799</v>
      </c>
      <c r="R316" s="66" t="s">
        <v>11</v>
      </c>
      <c r="S316" s="67" t="str">
        <f>HYPERLINK(CONCATENATE(TabelleURL!$B$1,"341_RC_Interface/3414798-K.pdf"), "B-3414798-K")</f>
        <v>B-3414798-K</v>
      </c>
      <c r="T316" s="63"/>
      <c r="U316" s="5"/>
      <c r="W316" s="5" t="s">
        <v>508</v>
      </c>
      <c r="X316" s="17"/>
      <c r="Y316" s="8"/>
      <c r="AC316" s="18"/>
    </row>
    <row r="317" spans="1:38">
      <c r="A317" s="1" t="s">
        <v>505</v>
      </c>
      <c r="B317" s="1" t="s">
        <v>1418</v>
      </c>
      <c r="C317" s="1" t="s">
        <v>1419</v>
      </c>
      <c r="D317" s="1" t="s">
        <v>73</v>
      </c>
      <c r="F317" s="71"/>
      <c r="I317" s="2" t="str">
        <f>HYPERLINK(CONCATENATE(TabelleURL!$B$1,"332_ADIF/332KI01ZI.pdf"), "332KI01ZI")</f>
        <v>332KI01ZI</v>
      </c>
      <c r="T317" s="63"/>
      <c r="U317" s="5"/>
      <c r="W317" s="5"/>
      <c r="X317" s="17"/>
      <c r="Y317" s="8"/>
      <c r="AC317" s="18"/>
    </row>
    <row r="318" spans="1:38">
      <c r="A318" s="1" t="s">
        <v>505</v>
      </c>
      <c r="B318" s="1" t="s">
        <v>515</v>
      </c>
      <c r="D318" s="1" t="s">
        <v>82</v>
      </c>
      <c r="F318" s="71"/>
      <c r="T318" s="63"/>
      <c r="U318" s="5"/>
      <c r="W318" s="5"/>
      <c r="X318" s="17"/>
      <c r="Y318" s="8"/>
      <c r="AC318" s="18"/>
    </row>
    <row r="319" spans="1:38">
      <c r="A319" s="1" t="s">
        <v>505</v>
      </c>
      <c r="B319" s="1" t="s">
        <v>515</v>
      </c>
      <c r="D319" s="1" t="s">
        <v>86</v>
      </c>
      <c r="F319" s="71"/>
      <c r="L319" s="4" t="str">
        <f>HYPERLINK(CONCATENATE(TabelleURL!$B$1,"340_Helfer/3404799.pdf"), "3404799")</f>
        <v>3404799</v>
      </c>
      <c r="R319" s="66" t="s">
        <v>11</v>
      </c>
      <c r="S319" s="67" t="str">
        <f>HYPERLINK(CONCATENATE(TabelleURL!$B$1,"341_RC_Interface/3414799-K.pdf"), "B-3414799-K")</f>
        <v>B-3414799-K</v>
      </c>
      <c r="T319" s="63"/>
      <c r="U319" s="5"/>
      <c r="W319" s="5" t="s">
        <v>509</v>
      </c>
      <c r="X319" s="17"/>
      <c r="Y319" s="8"/>
      <c r="AC319" s="18"/>
    </row>
    <row r="320" spans="1:38">
      <c r="A320" s="1" t="s">
        <v>505</v>
      </c>
      <c r="B320" s="1" t="s">
        <v>516</v>
      </c>
      <c r="D320" s="1" t="s">
        <v>86</v>
      </c>
      <c r="F320" s="71"/>
      <c r="L320" s="4" t="str">
        <f>HYPERLINK(CONCATENATE(TabelleURL!$B$1,"340_Helfer/3404799.pdf"), "3404799")</f>
        <v>3404799</v>
      </c>
      <c r="R320" s="66" t="s">
        <v>11</v>
      </c>
      <c r="S320" s="67" t="str">
        <f>HYPERLINK(CONCATENATE(TabelleURL!$B$1,"341_RC_Interface/3414799-K.pdf"), "B-3414799-K")</f>
        <v>B-3414799-K</v>
      </c>
      <c r="T320" s="63"/>
      <c r="U320" s="5"/>
      <c r="W320" s="5" t="s">
        <v>509</v>
      </c>
      <c r="X320" s="17"/>
      <c r="Y320" s="8"/>
      <c r="AC320" s="18"/>
    </row>
    <row r="321" spans="1:40">
      <c r="A321" s="1" t="s">
        <v>505</v>
      </c>
      <c r="B321" s="1" t="s">
        <v>517</v>
      </c>
      <c r="C321" s="1" t="s">
        <v>518</v>
      </c>
      <c r="D321" s="1" t="s">
        <v>519</v>
      </c>
      <c r="F321" s="71"/>
      <c r="T321" s="63"/>
      <c r="U321" s="5"/>
      <c r="W321" s="5"/>
      <c r="X321" s="17"/>
      <c r="Y321" s="8"/>
      <c r="AC321" s="18"/>
    </row>
    <row r="322" spans="1:40">
      <c r="A322" s="1" t="s">
        <v>505</v>
      </c>
      <c r="B322" s="1" t="s">
        <v>517</v>
      </c>
      <c r="C322" s="1" t="s">
        <v>520</v>
      </c>
      <c r="D322" s="1" t="s">
        <v>213</v>
      </c>
      <c r="F322" s="71"/>
      <c r="L322" s="4" t="str">
        <f>HYPERLINK(CONCATENATE(TabelleURL!$B$1,"340_Helfer/3404799.pdf"), "3404799")</f>
        <v>3404799</v>
      </c>
      <c r="M322" s="5" t="str">
        <f>HYPERLINK(CONCATENATE(TabelleURL!$B$1,"345_Signalbox/3450279.pdf"), "3450279")</f>
        <v>3450279</v>
      </c>
      <c r="R322" s="66" t="s">
        <v>11</v>
      </c>
      <c r="S322" s="67" t="str">
        <f>HYPERLINK(CONCATENATE(TabelleURL!$B$1,"341_RC_Interface/3414798-K.pdf"), "B-3414798-K")</f>
        <v>B-3414798-K</v>
      </c>
      <c r="T322" s="63"/>
      <c r="U322" s="5"/>
      <c r="W322" s="5" t="s">
        <v>508</v>
      </c>
      <c r="X322" s="17"/>
      <c r="Y322" s="8"/>
      <c r="AC322" s="18"/>
    </row>
    <row r="323" spans="1:40">
      <c r="A323" s="1" t="s">
        <v>505</v>
      </c>
      <c r="B323" s="1" t="s">
        <v>521</v>
      </c>
      <c r="D323" s="1" t="s">
        <v>424</v>
      </c>
      <c r="F323" s="71"/>
      <c r="L323" s="4" t="str">
        <f>HYPERLINK(CONCATENATE(TabelleURL!$B$1,"340_Helfer/3404799.pdf"), "3404799")</f>
        <v>3404799</v>
      </c>
      <c r="R323" s="66" t="s">
        <v>11</v>
      </c>
      <c r="S323" s="67" t="str">
        <f>HYPERLINK(CONCATENATE(TabelleURL!$B$1,"341_RC_Interface/3414798-K.pdf"), "B-3414798-K")</f>
        <v>B-3414798-K</v>
      </c>
      <c r="T323" s="63"/>
      <c r="U323" s="5"/>
      <c r="W323" s="5" t="s">
        <v>508</v>
      </c>
      <c r="X323" s="17"/>
      <c r="Y323" s="8"/>
      <c r="AC323" s="18"/>
    </row>
    <row r="324" spans="1:40">
      <c r="A324" s="1" t="s">
        <v>505</v>
      </c>
      <c r="B324" s="1" t="s">
        <v>522</v>
      </c>
      <c r="C324" s="1" t="s">
        <v>523</v>
      </c>
      <c r="D324" s="1" t="s">
        <v>23</v>
      </c>
      <c r="F324" s="71"/>
      <c r="T324" s="63"/>
      <c r="U324" s="5"/>
      <c r="W324" s="5"/>
      <c r="X324" s="17"/>
      <c r="Y324" s="8"/>
      <c r="AC324" s="18"/>
    </row>
    <row r="325" spans="1:40">
      <c r="A325" s="1" t="s">
        <v>505</v>
      </c>
      <c r="B325" s="1" t="s">
        <v>522</v>
      </c>
      <c r="C325" s="1" t="s">
        <v>524</v>
      </c>
      <c r="D325" s="1" t="s">
        <v>27</v>
      </c>
      <c r="F325" s="71"/>
      <c r="L325" s="4" t="str">
        <f>HYPERLINK(CONCATENATE(TabelleURL!$B$1,"340_Helfer/3404799.pdf"), "3404799")</f>
        <v>3404799</v>
      </c>
      <c r="R325" s="66" t="s">
        <v>11</v>
      </c>
      <c r="S325" s="67" t="str">
        <f>HYPERLINK(CONCATENATE(TabelleURL!$B$1,"341_RC_Interface/3414799-K.pdf"), "B-3414799-K")</f>
        <v>B-3414799-K</v>
      </c>
      <c r="T325" s="63"/>
      <c r="U325" s="5"/>
      <c r="W325" s="5" t="s">
        <v>509</v>
      </c>
      <c r="X325" s="17"/>
      <c r="Y325" s="8"/>
      <c r="AC325" s="18"/>
    </row>
    <row r="326" spans="1:40">
      <c r="A326" s="1" t="s">
        <v>505</v>
      </c>
      <c r="B326" s="1" t="s">
        <v>525</v>
      </c>
      <c r="D326" s="1" t="s">
        <v>213</v>
      </c>
      <c r="F326" s="71"/>
      <c r="L326" s="4" t="str">
        <f>HYPERLINK(CONCATENATE(TabelleURL!$B$1,"340_Helfer/3404799.pdf"), "3404799")</f>
        <v>3404799</v>
      </c>
      <c r="R326" s="66" t="s">
        <v>11</v>
      </c>
      <c r="S326" s="67" t="str">
        <f>HYPERLINK(CONCATENATE(TabelleURL!$B$1,"341_RC_Interface/3414798-K.pdf"), "B-3414798-K")</f>
        <v>B-3414798-K</v>
      </c>
      <c r="T326" s="63"/>
      <c r="U326" s="5"/>
      <c r="W326" s="5" t="s">
        <v>508</v>
      </c>
      <c r="X326" s="17"/>
      <c r="Y326" s="8"/>
      <c r="AC326" s="18"/>
    </row>
    <row r="327" spans="1:40">
      <c r="A327" s="1" t="s">
        <v>526</v>
      </c>
      <c r="B327" s="1" t="s">
        <v>527</v>
      </c>
      <c r="C327" s="1" t="s">
        <v>528</v>
      </c>
      <c r="D327" s="1" t="s">
        <v>29</v>
      </c>
      <c r="F327" s="71"/>
      <c r="G327" s="2" t="str">
        <f>HYPERLINK(CONCATENATE(TabelleURL!$B$1,"332_ADIF/332AR01.pdf"), "332AR01")</f>
        <v>332AR01</v>
      </c>
      <c r="M327" s="5" t="str">
        <f>HYPERLINK(CONCATENATE(TabelleURL!$B$1,"345_Signalbox/3450257.pdf"), "3450257")</f>
        <v>3450257</v>
      </c>
      <c r="R327" s="66" t="s">
        <v>11</v>
      </c>
      <c r="S327" s="67" t="str">
        <f>HYPERLINK(CONCATENATE(TabelleURL!$B$1,"347_URI/3474761.pdf"), "B-3474761")</f>
        <v>B-3474761</v>
      </c>
      <c r="T327" s="63">
        <v>3474761</v>
      </c>
      <c r="U327" s="5" t="s">
        <v>12</v>
      </c>
      <c r="W327" s="5"/>
      <c r="X327" s="17"/>
      <c r="Y327" s="8"/>
      <c r="AC327" s="18"/>
    </row>
    <row r="328" spans="1:40">
      <c r="A328" s="1" t="s">
        <v>526</v>
      </c>
      <c r="B328" s="1" t="s">
        <v>529</v>
      </c>
      <c r="C328" s="1" t="s">
        <v>331</v>
      </c>
      <c r="D328" s="1" t="s">
        <v>344</v>
      </c>
      <c r="F328" s="71"/>
      <c r="G328" s="2" t="str">
        <f>HYPERLINK(CONCATENATE(TabelleURL!$B$1,"332_ADIF/332AR01.pdf"), "332AR01")</f>
        <v>332AR01</v>
      </c>
      <c r="M328" s="5" t="str">
        <f>HYPERLINK(CONCATENATE(TabelleURL!$B$1,"345_Signalbox/3450257.pdf"), "3450257")</f>
        <v>3450257</v>
      </c>
      <c r="R328" s="66" t="s">
        <v>11</v>
      </c>
      <c r="S328" s="67" t="str">
        <f>HYPERLINK(CONCATENATE(TabelleURL!$B$1,"347_URI/3474761.pdf"), "B-3474761")</f>
        <v>B-3474761</v>
      </c>
      <c r="T328" s="63">
        <v>3474761</v>
      </c>
      <c r="U328" s="5" t="s">
        <v>12</v>
      </c>
      <c r="W328" s="5"/>
      <c r="X328" s="17"/>
      <c r="Y328" s="8"/>
      <c r="AC328" s="18"/>
      <c r="AF328" s="8" t="str">
        <f>HYPERLINK(CONCATENATE(TabelleURL!$B$1,"340_Helfer/3404700.pdf"), "B-3404700")</f>
        <v>B-3404700</v>
      </c>
      <c r="AL328" s="3" t="s">
        <v>7</v>
      </c>
    </row>
    <row r="329" spans="1:40">
      <c r="A329" s="1" t="s">
        <v>526</v>
      </c>
      <c r="B329" s="1" t="s">
        <v>530</v>
      </c>
      <c r="D329" s="1" t="s">
        <v>8</v>
      </c>
      <c r="F329" s="71"/>
      <c r="G329" s="2" t="str">
        <f>HYPERLINK(CONCATENATE(TabelleURL!$B$1,"332_ADIF/332CI05.pdf"), "332CI05KA")</f>
        <v>332CI05KA</v>
      </c>
      <c r="M329" s="5" t="str">
        <f>HYPERLINK(CONCATENATE(TabelleURL!$B$1,"345_Signalbox/3450264.pdf"), "3450264")</f>
        <v>3450264</v>
      </c>
      <c r="R329" s="66" t="s">
        <v>11</v>
      </c>
      <c r="S329" s="67" t="s">
        <v>239</v>
      </c>
      <c r="T329" s="63">
        <v>3470006</v>
      </c>
      <c r="U329" s="5" t="s">
        <v>240</v>
      </c>
      <c r="V329" s="4" t="s">
        <v>239</v>
      </c>
      <c r="W329" s="5"/>
      <c r="X329" s="17" t="s">
        <v>11</v>
      </c>
      <c r="Y329" s="8" t="s">
        <v>241</v>
      </c>
      <c r="AC329" s="18" t="s">
        <v>11</v>
      </c>
      <c r="AD329" s="4" t="str">
        <f>HYPERLINK(CONCATENATE(TabelleURL!$B$1,"367/3674212-PDC.pdf"), "3674212-PDC")</f>
        <v>3674212-PDC</v>
      </c>
      <c r="AH329" s="4" t="str">
        <f>HYPERLINK(CONCATENATE(TabelleURL!$B$1,"346_CAN2com/346300XX.pdf"), "34630015")</f>
        <v>34630015</v>
      </c>
      <c r="AI329" s="5" t="str">
        <f>HYPERLINK(CONCATENATE(TabelleURL!$B$1,"3499_Taxi/34990023.pdf"), "34990023")</f>
        <v>34990023</v>
      </c>
    </row>
    <row r="330" spans="1:40">
      <c r="A330" s="1" t="s">
        <v>526</v>
      </c>
      <c r="B330" s="1" t="s">
        <v>531</v>
      </c>
      <c r="D330" s="1" t="s">
        <v>86</v>
      </c>
      <c r="F330" s="71"/>
      <c r="G330" s="2" t="str">
        <f>HYPERLINK(CONCATENATE(TabelleURL!$B$1,"32_ADIF/332FI02.pdf"), "332FI02KA")</f>
        <v>332FI02KA</v>
      </c>
      <c r="P330" s="5" t="str">
        <f>HYPERLINK(CONCATENATE(TabelleURL!$B$1,"345_Signalbox/3450285-W.pdf"), "3450285-W")</f>
        <v>3450285-W</v>
      </c>
      <c r="T330" s="63"/>
      <c r="U330" s="5"/>
      <c r="W330" s="5"/>
      <c r="X330" s="17"/>
      <c r="Y330" s="8"/>
      <c r="AC330" s="18"/>
      <c r="AI330" s="5" t="str">
        <f>HYPERLINK(CONCATENATE(TabelleURL!$B$1,"3499_Taxi/34990081.pdf"), "34990081")</f>
        <v>34990081</v>
      </c>
    </row>
    <row r="331" spans="1:40">
      <c r="A331" s="1" t="s">
        <v>526</v>
      </c>
      <c r="B331" s="1" t="s">
        <v>532</v>
      </c>
      <c r="C331" s="1" t="s">
        <v>533</v>
      </c>
      <c r="D331" s="82" t="s">
        <v>1382</v>
      </c>
      <c r="F331" s="71"/>
      <c r="G331" s="2" t="str">
        <f>HYPERLINK(CONCATENATE(TabelleURL!$B$1,"332_ADIF/332AR01.pdf"), "332AR01")</f>
        <v>332AR01</v>
      </c>
      <c r="M331" s="5" t="str">
        <f>HYPERLINK(CONCATENATE(TabelleURL!$B$1,"345_Signalbox/3450257.pdf"), "3450257")</f>
        <v>3450257</v>
      </c>
      <c r="R331" s="66" t="s">
        <v>11</v>
      </c>
      <c r="S331" s="67" t="str">
        <f>HYPERLINK(CONCATENATE(TabelleURL!$B$1,"347_URI/3474761.pdf"), "B-3474761")</f>
        <v>B-3474761</v>
      </c>
      <c r="T331" s="63">
        <v>3474761</v>
      </c>
      <c r="U331" s="5" t="s">
        <v>12</v>
      </c>
      <c r="W331" s="5"/>
      <c r="X331" s="17"/>
      <c r="Y331" s="8"/>
      <c r="AC331" s="18"/>
      <c r="AF331" s="8" t="str">
        <f>HYPERLINK(CONCATENATE(TabelleURL!$B$1,"340_Helfer/3404700.pdf"), "B-3404700")</f>
        <v>B-3404700</v>
      </c>
      <c r="AL331" s="3" t="s">
        <v>7</v>
      </c>
      <c r="AN331" s="2" t="str">
        <f>HYPERLINK(CONCATENATE(TabelleURL!$B$1,"350_RICI_PDC_OBI/3500031 OBI Alfa BMW Fiat Merc Opel VW D_E.pdf"), "3500031")</f>
        <v>3500031</v>
      </c>
    </row>
    <row r="332" spans="1:40">
      <c r="A332" s="1" t="s">
        <v>526</v>
      </c>
      <c r="B332" s="1" t="s">
        <v>532</v>
      </c>
      <c r="C332" s="1" t="s">
        <v>533</v>
      </c>
      <c r="D332" s="1" t="s">
        <v>534</v>
      </c>
      <c r="F332" s="71"/>
      <c r="G332" s="2" t="str">
        <f>HYPERLINK(CONCATENATE(TabelleURL!$B$1,"332_ADIF/332AR01.pdf"), "332AR01")</f>
        <v>332AR01</v>
      </c>
      <c r="M332" s="5" t="str">
        <f>HYPERLINK(CONCATENATE(TabelleURL!$B$1,"345_Signalbox/3450257.pdf"), "3450257")</f>
        <v>3450257</v>
      </c>
      <c r="R332" s="66" t="s">
        <v>11</v>
      </c>
      <c r="S332" s="67" t="str">
        <f>HYPERLINK(CONCATENATE(TabelleURL!$B$1,"347_URI/3474761.pdf"), "B-3474761")</f>
        <v>B-3474761</v>
      </c>
      <c r="T332" s="63">
        <v>3474761</v>
      </c>
      <c r="U332" s="5" t="s">
        <v>12</v>
      </c>
      <c r="W332" s="5"/>
      <c r="X332" s="17"/>
      <c r="Y332" s="8"/>
      <c r="AC332" s="18"/>
      <c r="AF332" s="8" t="str">
        <f>HYPERLINK(CONCATENATE(TabelleURL!$B$1,"340_Helfer/3404700.pdf"), "B-3404700")</f>
        <v>B-3404700</v>
      </c>
      <c r="AL332" s="3" t="s">
        <v>7</v>
      </c>
      <c r="AN332" s="2" t="str">
        <f>HYPERLINK(CONCATENATE(TabelleURL!$B$1,"350_RICI_PDC_OBI/3500031 OBI Alfa BMW Fiat Merc Opel VW D_E.pdf"), "3500031")</f>
        <v>3500031</v>
      </c>
    </row>
    <row r="333" spans="1:40">
      <c r="A333" s="1" t="s">
        <v>526</v>
      </c>
      <c r="B333" s="1" t="s">
        <v>532</v>
      </c>
      <c r="C333" s="1" t="s">
        <v>535</v>
      </c>
      <c r="D333" s="1" t="s">
        <v>86</v>
      </c>
      <c r="F333" s="71"/>
      <c r="G333" s="2" t="str">
        <f>HYPERLINK(CONCATENATE(TabelleURL!$B$1,"32_ADIF/332FI02.pdf"), "332FI02KA")</f>
        <v>332FI02KA</v>
      </c>
      <c r="T333" s="63"/>
      <c r="U333" s="5"/>
      <c r="W333" s="5"/>
      <c r="X333" s="17"/>
      <c r="Y333" s="8"/>
      <c r="AC333" s="18"/>
      <c r="AF333" s="8" t="str">
        <f>HYPERLINK(CONCATENATE(TabelleURL!$B$1,"340_Helfer/3404700.pdf"), "B-3404700")</f>
        <v>B-3404700</v>
      </c>
      <c r="AI333" s="5" t="str">
        <f>HYPERLINK(CONCATENATE(TabelleURL!$B$1,"3499_Taxi/34990081.pdf"), "34990081")</f>
        <v>34990081</v>
      </c>
    </row>
    <row r="334" spans="1:40">
      <c r="A334" s="1" t="s">
        <v>526</v>
      </c>
      <c r="B334" s="1" t="s">
        <v>536</v>
      </c>
      <c r="D334" s="1" t="s">
        <v>86</v>
      </c>
      <c r="F334" s="71"/>
      <c r="G334" s="2" t="str">
        <f>HYPERLINK(CONCATENATE(TabelleURL!$B$1,"332_ADIF/332GC01KA.pdf"), "332GC01KA")</f>
        <v>332GC01KA</v>
      </c>
      <c r="M334" s="5" t="str">
        <f>HYPERLINK(CONCATENATE(TabelleURL!$B$1,"345_Signalbox/3450291.pdf"), "3450291")</f>
        <v>3450291</v>
      </c>
      <c r="P334" s="5" t="str">
        <f>HYPERLINK(CONCATENATE(TabelleURL!$B$1,"345_Signalbox/3450291-W.pdf"), "3450291-W")</f>
        <v>3450291-W</v>
      </c>
      <c r="R334" s="66" t="s">
        <v>221</v>
      </c>
      <c r="S334" s="67" t="str">
        <f>HYPERLINK(CONCATENATE(TabelleURL!$B$1,"347_URI/3474782.pdf"), "B-3474782")</f>
        <v>B-3474782</v>
      </c>
      <c r="T334" s="63">
        <v>3474780</v>
      </c>
      <c r="U334" s="5" t="s">
        <v>224</v>
      </c>
      <c r="W334" s="5"/>
      <c r="X334" s="17"/>
      <c r="Y334" s="8"/>
      <c r="AC334" s="18"/>
    </row>
    <row r="335" spans="1:40">
      <c r="A335" s="1" t="s">
        <v>537</v>
      </c>
      <c r="B335" s="1" t="s">
        <v>538</v>
      </c>
      <c r="C335" s="1" t="s">
        <v>225</v>
      </c>
      <c r="D335" s="1" t="s">
        <v>539</v>
      </c>
      <c r="F335" s="71"/>
      <c r="G335" s="2" t="str">
        <f>HYPERLINK(CONCATENATE(TabelleURL!$B$1,"332_ADIF/332LR01.pdf"), "332LR01")</f>
        <v>332LR01</v>
      </c>
      <c r="T335" s="63"/>
      <c r="U335" s="5"/>
      <c r="W335" s="5"/>
      <c r="X335" s="17"/>
      <c r="Y335" s="8"/>
      <c r="AC335" s="18"/>
    </row>
    <row r="336" spans="1:40">
      <c r="A336" s="1" t="s">
        <v>537</v>
      </c>
      <c r="B336" s="1" t="s">
        <v>538</v>
      </c>
      <c r="C336" s="1" t="s">
        <v>258</v>
      </c>
      <c r="D336" s="1" t="s">
        <v>540</v>
      </c>
      <c r="F336" s="71"/>
      <c r="G336" s="2" t="str">
        <f>HYPERLINK(CONCATENATE(TabelleURL!$B$1,"332_ADIF/332LR02KA.pdf"), "332LR02KA")</f>
        <v>332LR02KA</v>
      </c>
      <c r="T336" s="63"/>
      <c r="U336" s="5"/>
      <c r="W336" s="5"/>
      <c r="X336" s="17"/>
      <c r="Y336" s="8"/>
      <c r="AC336" s="18"/>
    </row>
    <row r="337" spans="1:34">
      <c r="A337" s="1" t="s">
        <v>537</v>
      </c>
      <c r="B337" s="1" t="s">
        <v>538</v>
      </c>
      <c r="C337" s="1" t="s">
        <v>305</v>
      </c>
      <c r="D337" s="1" t="s">
        <v>213</v>
      </c>
      <c r="F337" s="71"/>
      <c r="G337" s="2" t="str">
        <f>HYPERLINK(CONCATENATE(TabelleURL!$B$1,"332_ADIF/332LR04.pdf"), "332LR04")</f>
        <v>332LR04</v>
      </c>
      <c r="T337" s="63"/>
      <c r="U337" s="5"/>
      <c r="W337" s="5"/>
      <c r="X337" s="17"/>
      <c r="Y337" s="8"/>
      <c r="AC337" s="18"/>
    </row>
    <row r="338" spans="1:34">
      <c r="A338" s="1" t="s">
        <v>537</v>
      </c>
      <c r="B338" s="1" t="s">
        <v>541</v>
      </c>
      <c r="C338" s="1" t="s">
        <v>225</v>
      </c>
      <c r="D338" s="1" t="s">
        <v>114</v>
      </c>
      <c r="F338" s="71"/>
      <c r="G338" s="2" t="str">
        <f>HYPERLINK(CONCATENATE(TabelleURL!$B$1,"332_ADIF/332LR03.pdf"), "332LR03")</f>
        <v>332LR03</v>
      </c>
      <c r="T338" s="63"/>
      <c r="U338" s="5"/>
      <c r="W338" s="5"/>
      <c r="X338" s="17"/>
      <c r="Y338" s="8"/>
      <c r="AC338" s="18"/>
    </row>
    <row r="339" spans="1:34">
      <c r="A339" s="1" t="s">
        <v>537</v>
      </c>
      <c r="B339" s="1" t="s">
        <v>542</v>
      </c>
      <c r="C339" s="1" t="s">
        <v>543</v>
      </c>
      <c r="D339" s="1" t="s">
        <v>544</v>
      </c>
      <c r="F339" s="71"/>
      <c r="G339" s="2" t="str">
        <f>HYPERLINK(CONCATENATE(TabelleURL!$B$1,"342_Helfer/340011.pdf"), "340011")</f>
        <v>340011</v>
      </c>
      <c r="T339" s="63"/>
      <c r="U339" s="5"/>
      <c r="W339" s="5"/>
      <c r="X339" s="17"/>
      <c r="Y339" s="8"/>
      <c r="AC339" s="18"/>
    </row>
    <row r="340" spans="1:34">
      <c r="A340" s="1" t="s">
        <v>537</v>
      </c>
      <c r="B340" s="1" t="s">
        <v>542</v>
      </c>
      <c r="C340" s="1" t="s">
        <v>545</v>
      </c>
      <c r="D340" s="1" t="s">
        <v>61</v>
      </c>
      <c r="F340" s="71"/>
      <c r="M340" s="5" t="str">
        <f>HYPERLINK(CONCATENATE(TabelleURL!$B$1,"345_Signalbox/3450290.pdf"), "3450290")</f>
        <v>3450290</v>
      </c>
      <c r="P340" s="5" t="str">
        <f>HYPERLINK(CONCATENATE(TabelleURL!$B$1,"345_Signalbox/3450290-W.pdf"), "3450290-W")</f>
        <v>3450290-W</v>
      </c>
      <c r="T340" s="63"/>
      <c r="U340" s="5"/>
      <c r="W340" s="5"/>
      <c r="X340" s="17"/>
      <c r="Y340" s="8"/>
      <c r="AC340" s="18"/>
    </row>
    <row r="341" spans="1:34">
      <c r="A341" s="1" t="s">
        <v>546</v>
      </c>
      <c r="B341" s="1" t="s">
        <v>547</v>
      </c>
      <c r="D341" s="1" t="s">
        <v>61</v>
      </c>
      <c r="F341" s="71"/>
      <c r="T341" s="63"/>
      <c r="U341" s="5"/>
      <c r="W341" s="5"/>
      <c r="X341" s="17"/>
      <c r="Y341" s="8"/>
      <c r="AC341" s="18"/>
      <c r="AH341" s="4" t="str">
        <f>HYPERLINK(CONCATENATE(TabelleURL!$B$1,"346_CAN2com/3475847.pdf"), "3475847")</f>
        <v>3475847</v>
      </c>
    </row>
    <row r="342" spans="1:34">
      <c r="A342" s="1" t="s">
        <v>546</v>
      </c>
      <c r="B342" s="1" t="s">
        <v>548</v>
      </c>
      <c r="D342" s="1" t="s">
        <v>213</v>
      </c>
      <c r="F342" s="71"/>
      <c r="T342" s="63"/>
      <c r="U342" s="5"/>
      <c r="W342" s="5"/>
      <c r="X342" s="17"/>
      <c r="Y342" s="8"/>
      <c r="AC342" s="18"/>
      <c r="AH342" s="4" t="str">
        <f>HYPERLINK(CONCATENATE(TabelleURL!$B$1,"346_CAN2com/3475847.pdf"), "3475847")</f>
        <v>3475847</v>
      </c>
    </row>
    <row r="343" spans="1:34">
      <c r="A343" s="1" t="s">
        <v>549</v>
      </c>
      <c r="B343" s="1" t="s">
        <v>550</v>
      </c>
      <c r="D343" s="1" t="s">
        <v>251</v>
      </c>
      <c r="E343" s="76" t="s">
        <v>551</v>
      </c>
      <c r="F343" s="71"/>
      <c r="I343" s="2" t="str">
        <f>HYPERLINK(CONCATENATE(TabelleURL!$B$1,"342_ADIF/342FMS01ZI.pdf"), "342FMS01/0/ZI")</f>
        <v>342FMS01/0/ZI</v>
      </c>
      <c r="R343" s="66" t="s">
        <v>552</v>
      </c>
      <c r="S343" s="67" t="str">
        <f>HYPERLINK(CONCATENATE(TabelleURL!$B$1,"347_URI/3474777.pdf"), "B-3474777")</f>
        <v>B-3474777</v>
      </c>
      <c r="T343" s="63">
        <v>3474777</v>
      </c>
      <c r="U343" s="5" t="s">
        <v>553</v>
      </c>
      <c r="W343" s="5"/>
      <c r="X343" s="17"/>
      <c r="Y343" s="8"/>
      <c r="AC343" s="18"/>
    </row>
    <row r="344" spans="1:34">
      <c r="A344" s="1" t="s">
        <v>549</v>
      </c>
      <c r="B344" s="1" t="s">
        <v>1385</v>
      </c>
      <c r="D344" s="82" t="s">
        <v>25</v>
      </c>
      <c r="E344" s="76" t="s">
        <v>1386</v>
      </c>
      <c r="F344" s="71"/>
      <c r="T344" s="63"/>
      <c r="U344" s="5"/>
      <c r="W344" s="5"/>
      <c r="X344" s="17"/>
      <c r="Y344" s="8"/>
      <c r="AC344" s="18"/>
    </row>
    <row r="345" spans="1:34">
      <c r="A345" s="1" t="s">
        <v>549</v>
      </c>
      <c r="B345" s="1" t="s">
        <v>554</v>
      </c>
      <c r="D345" s="1" t="s">
        <v>251</v>
      </c>
      <c r="E345" s="76" t="s">
        <v>551</v>
      </c>
      <c r="F345" s="71"/>
      <c r="R345" s="66" t="s">
        <v>552</v>
      </c>
      <c r="S345" s="67" t="str">
        <f>HYPERLINK(CONCATENATE(TabelleURL!$B$1,"347_URI/3474777.pdf"), "B-3474777")</f>
        <v>B-3474777</v>
      </c>
      <c r="T345" s="63">
        <v>3474777</v>
      </c>
      <c r="U345" s="5" t="s">
        <v>553</v>
      </c>
      <c r="W345" s="5"/>
      <c r="X345" s="17"/>
      <c r="Y345" s="8"/>
      <c r="AC345" s="18"/>
    </row>
    <row r="346" spans="1:34">
      <c r="A346" s="1" t="s">
        <v>549</v>
      </c>
      <c r="B346" s="1" t="s">
        <v>555</v>
      </c>
      <c r="D346" s="1" t="s">
        <v>251</v>
      </c>
      <c r="E346" s="76" t="s">
        <v>551</v>
      </c>
      <c r="F346" s="71"/>
      <c r="R346" s="66" t="s">
        <v>552</v>
      </c>
      <c r="S346" s="67" t="str">
        <f>HYPERLINK(CONCATENATE(TabelleURL!$B$1,"347_URI/3474777.pdf"), "B-3474777")</f>
        <v>B-3474777</v>
      </c>
      <c r="T346" s="63">
        <v>3474777</v>
      </c>
      <c r="U346" s="5" t="s">
        <v>553</v>
      </c>
      <c r="W346" s="5"/>
      <c r="X346" s="17"/>
      <c r="Y346" s="8"/>
      <c r="AC346" s="18"/>
    </row>
    <row r="347" spans="1:34">
      <c r="A347" s="1" t="s">
        <v>549</v>
      </c>
      <c r="B347" s="1" t="s">
        <v>556</v>
      </c>
      <c r="D347" s="1" t="s">
        <v>251</v>
      </c>
      <c r="E347" s="76" t="s">
        <v>551</v>
      </c>
      <c r="R347" s="66" t="s">
        <v>552</v>
      </c>
      <c r="S347" s="67" t="str">
        <f>HYPERLINK(CONCATENATE(TabelleURL!$B$1,"347_URI/3474777.pdf"), "B-3474777")</f>
        <v>B-3474777</v>
      </c>
      <c r="T347" s="63">
        <v>3474777</v>
      </c>
      <c r="U347" s="5" t="s">
        <v>553</v>
      </c>
      <c r="W347" s="5"/>
      <c r="X347" s="17"/>
      <c r="Y347" s="8"/>
      <c r="AC347" s="18"/>
    </row>
    <row r="348" spans="1:34">
      <c r="A348" s="1" t="s">
        <v>549</v>
      </c>
      <c r="B348" s="1" t="s">
        <v>557</v>
      </c>
      <c r="D348" s="1" t="s">
        <v>251</v>
      </c>
      <c r="E348" s="76" t="s">
        <v>551</v>
      </c>
      <c r="R348" s="66" t="s">
        <v>552</v>
      </c>
      <c r="S348" s="67" t="str">
        <f>HYPERLINK(CONCATENATE(TabelleURL!$B$1,"347_URI/3474777.pdf"), "B-3474777")</f>
        <v>B-3474777</v>
      </c>
      <c r="T348" s="63">
        <v>3474777</v>
      </c>
      <c r="U348" s="5" t="s">
        <v>553</v>
      </c>
      <c r="W348" s="5"/>
      <c r="X348" s="17"/>
      <c r="Y348" s="8"/>
      <c r="AC348" s="18"/>
    </row>
    <row r="349" spans="1:34">
      <c r="A349" s="1" t="s">
        <v>558</v>
      </c>
      <c r="B349" s="1" t="s">
        <v>559</v>
      </c>
      <c r="C349" s="1" t="s">
        <v>219</v>
      </c>
      <c r="D349" s="1" t="s">
        <v>400</v>
      </c>
      <c r="R349" s="66" t="s">
        <v>11</v>
      </c>
      <c r="S349" s="67" t="str">
        <f>HYPERLINK(CONCATENATE(TabelleURL!$B$1,"341_RC_Interface/3414794.pdf"), "B-3414794")</f>
        <v>B-3414794</v>
      </c>
      <c r="T349" s="63"/>
      <c r="U349" s="5"/>
      <c r="W349" s="5" t="s">
        <v>560</v>
      </c>
      <c r="X349" s="17"/>
      <c r="Y349" s="8"/>
      <c r="AC349" s="18"/>
    </row>
    <row r="350" spans="1:34">
      <c r="A350" s="1" t="s">
        <v>558</v>
      </c>
      <c r="B350" s="1" t="s">
        <v>559</v>
      </c>
      <c r="C350" s="1" t="s">
        <v>225</v>
      </c>
      <c r="D350" s="1" t="s">
        <v>251</v>
      </c>
      <c r="R350" s="66" t="s">
        <v>11</v>
      </c>
      <c r="S350" s="67" t="str">
        <f>HYPERLINK(CONCATENATE(TabelleURL!$B$1,"341_RC_Interface/3414794.pdf"), "B-3414794")</f>
        <v>B-3414794</v>
      </c>
      <c r="T350" s="63"/>
      <c r="U350" s="5"/>
      <c r="W350" s="5" t="s">
        <v>560</v>
      </c>
      <c r="X350" s="17"/>
      <c r="Y350" s="8"/>
      <c r="AC350" s="18"/>
    </row>
    <row r="351" spans="1:34">
      <c r="A351" s="1" t="s">
        <v>558</v>
      </c>
      <c r="B351" s="1" t="s">
        <v>561</v>
      </c>
      <c r="C351" s="1" t="s">
        <v>219</v>
      </c>
      <c r="D351" s="1" t="s">
        <v>562</v>
      </c>
      <c r="R351" s="66" t="s">
        <v>11</v>
      </c>
      <c r="S351" s="67" t="str">
        <f>HYPERLINK(CONCATENATE(TabelleURL!$B$1,"341_RC_Interface/3414794.pdf"), "B-3414794")</f>
        <v>B-3414794</v>
      </c>
      <c r="T351" s="63"/>
      <c r="U351" s="5"/>
      <c r="W351" s="5" t="s">
        <v>560</v>
      </c>
      <c r="X351" s="17"/>
      <c r="Y351" s="8"/>
      <c r="AC351" s="18"/>
    </row>
    <row r="352" spans="1:34">
      <c r="A352" s="1" t="s">
        <v>558</v>
      </c>
      <c r="B352" s="1" t="s">
        <v>561</v>
      </c>
      <c r="C352" s="1" t="s">
        <v>225</v>
      </c>
      <c r="D352" s="1" t="s">
        <v>213</v>
      </c>
      <c r="R352" s="66" t="s">
        <v>11</v>
      </c>
      <c r="S352" s="67" t="str">
        <f>HYPERLINK(CONCATENATE(TabelleURL!$B$1,"341_RC_Interface/3414794.pdf"), "B-3414794")</f>
        <v>B-3414794</v>
      </c>
      <c r="T352" s="63"/>
      <c r="U352" s="5"/>
      <c r="W352" s="5" t="s">
        <v>560</v>
      </c>
      <c r="X352" s="17"/>
      <c r="Y352" s="8"/>
      <c r="AC352" s="18"/>
    </row>
    <row r="353" spans="1:40">
      <c r="A353" s="1" t="s">
        <v>558</v>
      </c>
      <c r="B353" s="1" t="s">
        <v>563</v>
      </c>
      <c r="C353" s="1" t="s">
        <v>219</v>
      </c>
      <c r="D353" s="1" t="s">
        <v>564</v>
      </c>
      <c r="R353" s="66" t="s">
        <v>11</v>
      </c>
      <c r="S353" s="67" t="str">
        <f>HYPERLINK(CONCATENATE(TabelleURL!$B$1,"341_RC_Interface/3414794.pdf"), "B-3414794")</f>
        <v>B-3414794</v>
      </c>
      <c r="T353" s="63" t="s">
        <v>6</v>
      </c>
      <c r="U353" s="5"/>
      <c r="W353" s="5" t="s">
        <v>560</v>
      </c>
      <c r="X353" s="17"/>
      <c r="Y353" s="8"/>
      <c r="AC353" s="18"/>
    </row>
    <row r="354" spans="1:40">
      <c r="A354" s="1" t="s">
        <v>558</v>
      </c>
      <c r="B354" s="1" t="s">
        <v>563</v>
      </c>
      <c r="C354" s="1" t="s">
        <v>407</v>
      </c>
      <c r="D354" s="1" t="s">
        <v>255</v>
      </c>
      <c r="R354" s="66" t="s">
        <v>11</v>
      </c>
      <c r="S354" s="67" t="str">
        <f>HYPERLINK(CONCATENATE(TabelleURL!$B$1,"341_RC_Interface/3414794.pdf"), "B-3414794")</f>
        <v>B-3414794</v>
      </c>
      <c r="T354" s="63"/>
      <c r="U354" s="5"/>
      <c r="W354" s="5" t="s">
        <v>560</v>
      </c>
      <c r="X354" s="17"/>
      <c r="Y354" s="8"/>
      <c r="AC354" s="18"/>
    </row>
    <row r="355" spans="1:40">
      <c r="A355" s="1" t="s">
        <v>558</v>
      </c>
      <c r="B355" s="1" t="s">
        <v>563</v>
      </c>
      <c r="C355" s="1" t="s">
        <v>225</v>
      </c>
      <c r="D355" s="1" t="s">
        <v>27</v>
      </c>
      <c r="R355" s="66" t="s">
        <v>11</v>
      </c>
      <c r="S355" s="67" t="str">
        <f>HYPERLINK(CONCATENATE(TabelleURL!$B$1,"341_RC_Interface/3414794.pdf"), "B-3414794")</f>
        <v>B-3414794</v>
      </c>
      <c r="T355" s="63"/>
      <c r="U355" s="5"/>
      <c r="W355" s="5" t="s">
        <v>560</v>
      </c>
      <c r="X355" s="17"/>
      <c r="Y355" s="8"/>
      <c r="AC355" s="18"/>
    </row>
    <row r="356" spans="1:40">
      <c r="A356" s="1" t="s">
        <v>558</v>
      </c>
      <c r="B356" s="1" t="s">
        <v>565</v>
      </c>
      <c r="C356" s="1" t="s">
        <v>566</v>
      </c>
      <c r="D356" s="1" t="s">
        <v>567</v>
      </c>
      <c r="G356" s="2" t="str">
        <f>HYPERLINK(CONCATENATE(TabelleURL!$B$1,"342_ADIF/342MZ01.pdf"), "342MZ01/0/KA")</f>
        <v>342MZ01/0/KA</v>
      </c>
      <c r="T356" s="63" t="s">
        <v>6</v>
      </c>
      <c r="U356" s="5"/>
      <c r="W356" s="5" t="s">
        <v>560</v>
      </c>
      <c r="X356" s="17"/>
      <c r="Y356" s="8"/>
      <c r="AC356" s="18"/>
    </row>
    <row r="357" spans="1:40" ht="22.5">
      <c r="A357" s="1" t="s">
        <v>558</v>
      </c>
      <c r="B357" s="1" t="s">
        <v>565</v>
      </c>
      <c r="C357" s="1" t="s">
        <v>568</v>
      </c>
      <c r="D357" s="1" t="s">
        <v>242</v>
      </c>
      <c r="F357" s="70" t="s">
        <v>569</v>
      </c>
      <c r="G357" s="2" t="str">
        <f>HYPERLINK(CONCATENATE(TabelleURL!$B$1,"342_ADIF/342MZ01.pdf"), "342MZ01/0/KA")</f>
        <v>342MZ01/0/KA</v>
      </c>
      <c r="M357" s="5" t="str">
        <f>HYPERLINK(CONCATENATE(TabelleURL!$B$1,"345_Signalbox/3450266.pdf"), "3450266")</f>
        <v>3450266</v>
      </c>
      <c r="R357" s="66" t="s">
        <v>11</v>
      </c>
      <c r="S357" s="67" t="str">
        <f>HYPERLINK(CONCATENATE(TabelleURL!$B$1,"341_RC_Interface/3414794.pdf"), "B-3414794")</f>
        <v>B-3414794</v>
      </c>
      <c r="T357" s="63"/>
      <c r="U357" s="5"/>
      <c r="W357" s="5" t="s">
        <v>560</v>
      </c>
      <c r="X357" s="17"/>
      <c r="Y357" s="8"/>
      <c r="AC357" s="18"/>
    </row>
    <row r="358" spans="1:40">
      <c r="A358" s="1" t="s">
        <v>558</v>
      </c>
      <c r="B358" s="1" t="s">
        <v>565</v>
      </c>
      <c r="C358" s="1" t="s">
        <v>570</v>
      </c>
      <c r="D358" s="1" t="s">
        <v>571</v>
      </c>
      <c r="G358" s="2" t="str">
        <f>HYPERLINK(CONCATENATE(TabelleURL!$B$1,"342_ADIF/342MZ02.pdf"), "342MZ02/0/KA")</f>
        <v>342MZ02/0/KA</v>
      </c>
      <c r="M358" s="9"/>
      <c r="P358" s="5" t="str">
        <f>HYPERLINK(CONCATENATE(TabelleURL!$B$1,"345_Signalbox/3450287-W.pdf"), "3450287-W")</f>
        <v>3450287-W</v>
      </c>
      <c r="T358" s="63"/>
      <c r="U358" s="5"/>
      <c r="W358" s="5"/>
      <c r="X358" s="17"/>
      <c r="Y358" s="8"/>
      <c r="AC358" s="18"/>
    </row>
    <row r="359" spans="1:40">
      <c r="A359" s="1" t="s">
        <v>558</v>
      </c>
      <c r="B359" s="1" t="s">
        <v>572</v>
      </c>
      <c r="C359" s="1" t="s">
        <v>1435</v>
      </c>
      <c r="D359" s="1" t="s">
        <v>1436</v>
      </c>
      <c r="G359" s="2" t="str">
        <f>HYPERLINK(CONCATENATE(TabelleURL!$B$1,"342_ADIF/342MZ02.pdf"), "342MZ02/0/KA")</f>
        <v>342MZ02/0/KA</v>
      </c>
      <c r="M359" s="9"/>
      <c r="P359" s="5" t="str">
        <f>HYPERLINK(CONCATENATE(TabelleURL!$B$1,"345_Signalbox/3450287-W.pdf"), "3450287-W")</f>
        <v>3450287-W</v>
      </c>
      <c r="T359" s="63"/>
      <c r="U359" s="5"/>
      <c r="W359" s="5"/>
      <c r="X359" s="17"/>
      <c r="Y359" s="8"/>
      <c r="AC359" s="18"/>
    </row>
    <row r="360" spans="1:40">
      <c r="A360" s="1" t="s">
        <v>558</v>
      </c>
      <c r="B360" s="1" t="s">
        <v>572</v>
      </c>
      <c r="C360" s="1" t="s">
        <v>1437</v>
      </c>
      <c r="D360" s="1" t="s">
        <v>104</v>
      </c>
      <c r="M360" s="9"/>
      <c r="T360" s="63"/>
      <c r="U360" s="5"/>
      <c r="W360" s="5"/>
      <c r="X360" s="17"/>
      <c r="Y360" s="8"/>
      <c r="AC360" s="18"/>
    </row>
    <row r="361" spans="1:40">
      <c r="A361" s="1" t="s">
        <v>558</v>
      </c>
      <c r="B361" s="1" t="s">
        <v>573</v>
      </c>
      <c r="D361" s="1" t="s">
        <v>201</v>
      </c>
      <c r="G361" s="2" t="str">
        <f>HYPERLINK(CONCATENATE(TabelleURL!$B$1,"342_ADIF/342MZ01.pdf"), "342MZ01/0/KA")</f>
        <v>342MZ01/0/KA</v>
      </c>
      <c r="M361" s="5" t="str">
        <f>HYPERLINK(CONCATENATE(TabelleURL!$B$1,"345_Signalbox/3450266.pdf"), "3450266")</f>
        <v>3450266</v>
      </c>
      <c r="R361" s="66" t="s">
        <v>11</v>
      </c>
      <c r="S361" s="67" t="str">
        <f>HYPERLINK(CONCATENATE(TabelleURL!$B$1,"341_RC_Interface/3414794.pdf"), "B-3414794")</f>
        <v>B-3414794</v>
      </c>
      <c r="T361" s="63" t="s">
        <v>6</v>
      </c>
      <c r="U361" s="5"/>
      <c r="W361" s="5" t="s">
        <v>560</v>
      </c>
      <c r="X361" s="17"/>
      <c r="Y361" s="8"/>
      <c r="AC361" s="18"/>
    </row>
    <row r="362" spans="1:40">
      <c r="A362" s="1" t="s">
        <v>558</v>
      </c>
      <c r="B362" s="1" t="s">
        <v>573</v>
      </c>
      <c r="C362" s="1" t="s">
        <v>211</v>
      </c>
      <c r="D362" s="1" t="s">
        <v>27</v>
      </c>
      <c r="G362" s="2" t="str">
        <f>HYPERLINK(CONCATENATE(TabelleURL!$B$1,"342_ADIF/342MZ01.pdf"), "342MZ01/0/KA")</f>
        <v>342MZ01/0/KA</v>
      </c>
      <c r="M362" s="5" t="str">
        <f>HYPERLINK(CONCATENATE(TabelleURL!$B$1,"345_Signalbox/3450266.pdf"), "3450266")</f>
        <v>3450266</v>
      </c>
      <c r="R362" s="66" t="s">
        <v>11</v>
      </c>
      <c r="S362" s="67" t="str">
        <f>HYPERLINK(CONCATENATE(TabelleURL!$B$1,"341_RC_Interface/3414794.pdf"), "B-3414794")</f>
        <v>B-3414794</v>
      </c>
      <c r="T362" s="63" t="s">
        <v>6</v>
      </c>
      <c r="U362" s="5"/>
      <c r="W362" s="5" t="s">
        <v>560</v>
      </c>
      <c r="X362" s="17"/>
      <c r="Y362" s="8"/>
      <c r="AC362" s="18"/>
    </row>
    <row r="363" spans="1:40">
      <c r="A363" s="1" t="s">
        <v>558</v>
      </c>
      <c r="B363" s="1" t="s">
        <v>574</v>
      </c>
      <c r="C363" s="1" t="s">
        <v>575</v>
      </c>
      <c r="D363" s="1" t="s">
        <v>269</v>
      </c>
      <c r="G363" s="2" t="str">
        <f>HYPERLINK(CONCATENATE(TabelleURL!$B$1,"342_ADIF/342MZ01.pdf"), "342MZ01/0/KA")</f>
        <v>342MZ01/0/KA</v>
      </c>
      <c r="R363" s="66" t="s">
        <v>11</v>
      </c>
      <c r="S363" s="67" t="str">
        <f>HYPERLINK(CONCATENATE(TabelleURL!$B$1,"341_RC_Interface/3414794.pdf"), "B-3414794")</f>
        <v>B-3414794</v>
      </c>
      <c r="T363" s="63">
        <v>3470003</v>
      </c>
      <c r="U363" s="5" t="s">
        <v>576</v>
      </c>
      <c r="W363" s="5" t="s">
        <v>560</v>
      </c>
      <c r="X363" s="17"/>
      <c r="Y363" s="8"/>
      <c r="AC363" s="18"/>
    </row>
    <row r="364" spans="1:40">
      <c r="A364" s="1" t="s">
        <v>558</v>
      </c>
      <c r="B364" s="1" t="s">
        <v>574</v>
      </c>
      <c r="C364" s="1" t="s">
        <v>577</v>
      </c>
      <c r="D364" s="1" t="s">
        <v>213</v>
      </c>
      <c r="G364" s="2" t="str">
        <f>HYPERLINK(CONCATENATE(TabelleURL!$B$1,"342_ADIF/342MZ01.pdf"), "342MZ01/0/KA")</f>
        <v>342MZ01/0/KA</v>
      </c>
      <c r="R364" s="66" t="s">
        <v>11</v>
      </c>
      <c r="S364" s="67" t="str">
        <f>HYPERLINK(CONCATENATE(TabelleURL!$B$1,"341_RC_Interface/3414794.pdf"), "B-3414794")</f>
        <v>B-3414794</v>
      </c>
      <c r="T364" s="63">
        <v>3470003</v>
      </c>
      <c r="U364" s="5" t="s">
        <v>576</v>
      </c>
      <c r="W364" s="5" t="s">
        <v>560</v>
      </c>
      <c r="X364" s="17"/>
      <c r="Y364" s="8"/>
      <c r="AC364" s="18"/>
    </row>
    <row r="365" spans="1:40">
      <c r="A365" s="1" t="s">
        <v>558</v>
      </c>
      <c r="B365" s="1" t="s">
        <v>578</v>
      </c>
      <c r="D365" s="1" t="s">
        <v>92</v>
      </c>
      <c r="G365" s="2" t="str">
        <f>HYPERLINK(CONCATENATE(TabelleURL!$B$1,"342_ADIF/342MZ01.pdf"), "342MZ01/0/KA")</f>
        <v>342MZ01/0/KA</v>
      </c>
      <c r="T365" s="63" t="s">
        <v>6</v>
      </c>
      <c r="U365" s="5"/>
      <c r="W365" s="5"/>
      <c r="X365" s="17"/>
      <c r="Y365" s="8"/>
      <c r="AC365" s="18"/>
    </row>
    <row r="366" spans="1:40">
      <c r="A366" s="1" t="s">
        <v>579</v>
      </c>
      <c r="B366" s="1" t="s">
        <v>580</v>
      </c>
      <c r="C366" s="1" t="s">
        <v>581</v>
      </c>
      <c r="D366" s="1" t="s">
        <v>582</v>
      </c>
      <c r="E366" s="76" t="s">
        <v>583</v>
      </c>
      <c r="G366" s="2" t="str">
        <f>HYPERLINK(CONCATENATE(TabelleURL!$B$1,"332_ADIF/332DB01.pdf"), "332DB01/0/KA")</f>
        <v>332DB01/0/KA</v>
      </c>
      <c r="I366" s="2" t="str">
        <f>HYPERLINK(CONCATENATE(TabelleURL!$B$1,"342_ADIF/342DB01ZI.pdf"), "342DB01/0/ZI")</f>
        <v>342DB01/0/ZI</v>
      </c>
      <c r="M366" s="5" t="str">
        <f>HYPERLINK(CONCATENATE(TabelleURL!$B$1,"345_Signalbox/3450253.pdf"), "3450253")</f>
        <v>3450253</v>
      </c>
      <c r="R366" s="66" t="s">
        <v>11</v>
      </c>
      <c r="S366" s="67" t="str">
        <f>HYPERLINK(CONCATENATE(TabelleURL!$B$1,"347_URI/3474721.pdf"), "B-3474721")</f>
        <v>B-3474721</v>
      </c>
      <c r="T366" s="63">
        <v>3474721</v>
      </c>
      <c r="U366" s="5" t="s">
        <v>584</v>
      </c>
      <c r="W366" s="5"/>
      <c r="X366" s="17"/>
      <c r="Y366" s="8"/>
      <c r="AC366" s="18"/>
      <c r="AF366" s="8" t="str">
        <f>HYPERLINK(CONCATENATE(TabelleURL!$B$1,"340_Helfer/3404700.pdf"), "B-3404700")</f>
        <v>B-3404700</v>
      </c>
      <c r="AG366" s="2" t="str">
        <f>HYPERLINK(CONCATENATE(TabelleURL!$B$1,"340_Helfer/3404701.pdf"), "3404701")</f>
        <v>3404701</v>
      </c>
      <c r="AH366" s="4" t="str">
        <f>HYPERLINK(CONCATENATE(TabelleURL!$B$1,"346_CAN2com/3475821.pdf"), "3475821")</f>
        <v>3475821</v>
      </c>
      <c r="AI366" s="5" t="str">
        <f>HYPERLINK(CONCATENATE(TabelleURL!$B$1,"3499_Taxi/34990017.pdf"), "34990017")</f>
        <v>34990017</v>
      </c>
      <c r="AL366" s="3" t="s">
        <v>7</v>
      </c>
      <c r="AN366" s="2" t="str">
        <f>HYPERLINK(CONCATENATE(TabelleURL!$B$1,"350_RICI_PDC_OBI/3500031 OBI Alfa BMW Fiat Merc Opel VW D_E.pdf"), "3500031")</f>
        <v>3500031</v>
      </c>
    </row>
    <row r="367" spans="1:40">
      <c r="A367" s="1" t="s">
        <v>579</v>
      </c>
      <c r="B367" s="1" t="s">
        <v>580</v>
      </c>
      <c r="C367" s="1" t="s">
        <v>581</v>
      </c>
      <c r="D367" s="1" t="s">
        <v>582</v>
      </c>
      <c r="E367" s="76" t="s">
        <v>585</v>
      </c>
      <c r="G367" s="2" t="str">
        <f>HYPERLINK(CONCATENATE(TabelleURL!$B$1,"332_ADIF/332DB01.pdf"), "332DB01KA")</f>
        <v>332DB01KA</v>
      </c>
      <c r="I367" s="2" t="str">
        <f>HYPERLINK(CONCATENATE(TabelleURL!$B$1,"342_ADIF/342DB01ZI.pdf"), "342DB01/0/ZI")</f>
        <v>342DB01/0/ZI</v>
      </c>
      <c r="M367" s="5" t="str">
        <f>HYPERLINK(CONCATENATE(TabelleURL!$B$1,"345_Signalbox/3450253.pdf"), "3450253")</f>
        <v>3450253</v>
      </c>
      <c r="R367" s="66" t="s">
        <v>11</v>
      </c>
      <c r="S367" s="67" t="str">
        <f>HYPERLINK(CONCATENATE(TabelleURL!$B$1,"347_URI/3474721.pdf"), "B-3474722")</f>
        <v>B-3474722</v>
      </c>
      <c r="T367" s="63">
        <v>3474721</v>
      </c>
      <c r="U367" s="5" t="s">
        <v>586</v>
      </c>
      <c r="W367" s="5"/>
      <c r="X367" s="17"/>
      <c r="Y367" s="8"/>
      <c r="AC367" s="18"/>
      <c r="AF367" s="8" t="str">
        <f>HYPERLINK(CONCATENATE(TabelleURL!$B$1,"340_Helfer/3404700.pdf"), "B-3404700")</f>
        <v>B-3404700</v>
      </c>
      <c r="AG367" s="2" t="str">
        <f>HYPERLINK(CONCATENATE(TabelleURL!$B$1,"340_Helfer/3404701.pdf"), "3404701")</f>
        <v>3404701</v>
      </c>
      <c r="AH367" s="4" t="str">
        <f>HYPERLINK(CONCATENATE(TabelleURL!$B$1,"346_CAN2com/3475821.pdf"), "3475821")</f>
        <v>3475821</v>
      </c>
      <c r="AI367" s="5" t="str">
        <f>HYPERLINK(CONCATENATE(TabelleURL!$B$1,"3499_Taxi/34990017.pdf"), "34990017")</f>
        <v>34990017</v>
      </c>
      <c r="AL367" s="3" t="s">
        <v>7</v>
      </c>
      <c r="AN367" s="2" t="str">
        <f>HYPERLINK(CONCATENATE(TabelleURL!$B$1,"350_RICI_PDC_OBI/3500031 OBI Alfa BMW Fiat Merc Opel VW D_E.pdf"), "3500031")</f>
        <v>3500031</v>
      </c>
    </row>
    <row r="368" spans="1:40" ht="22.5">
      <c r="A368" s="1" t="s">
        <v>579</v>
      </c>
      <c r="B368" s="1" t="s">
        <v>580</v>
      </c>
      <c r="C368" s="1" t="s">
        <v>581</v>
      </c>
      <c r="D368" s="1" t="s">
        <v>582</v>
      </c>
      <c r="E368" s="76" t="s">
        <v>587</v>
      </c>
      <c r="G368" s="2" t="str">
        <f>HYPERLINK(CONCATENATE(TabelleURL!$B$1,"332_ADIF/332DB01.pdf"), "332DB01KA")</f>
        <v>332DB01KA</v>
      </c>
      <c r="I368" s="2" t="str">
        <f>HYPERLINK(CONCATENATE(TabelleURL!$B$1,"342_ADIF/342DB01ZI.pdf"), "342DB01/0/ZI")</f>
        <v>342DB01/0/ZI</v>
      </c>
      <c r="M368" s="5" t="str">
        <f>HYPERLINK(CONCATENATE(TabelleURL!$B$1,"345_Signalbox/3450253.pdf"), "3450253")</f>
        <v>3450253</v>
      </c>
      <c r="R368" s="66" t="s">
        <v>11</v>
      </c>
      <c r="S368" s="67" t="str">
        <f>HYPERLINK(CONCATENATE(TabelleURL!$B$1,"347_URI/3474721.pdf"), "B-3474724")</f>
        <v>B-3474724</v>
      </c>
      <c r="T368" s="63">
        <v>3474721</v>
      </c>
      <c r="U368" s="5" t="s">
        <v>588</v>
      </c>
      <c r="W368" s="5"/>
      <c r="X368" s="17"/>
      <c r="Y368" s="8"/>
      <c r="AC368" s="18"/>
      <c r="AF368" s="8" t="str">
        <f>HYPERLINK(CONCATENATE(TabelleURL!$B$1,"340_Helfer/3404700.pdf"), "B-3404700")</f>
        <v>B-3404700</v>
      </c>
      <c r="AG368" s="2" t="str">
        <f>HYPERLINK(CONCATENATE(TabelleURL!$B$1,"340_Helfer/3404701.pdf"), "3404701")</f>
        <v>3404701</v>
      </c>
      <c r="AH368" s="4" t="str">
        <f>HYPERLINK(CONCATENATE(TabelleURL!$B$1,"346_CAN2com/3475821.pdf"), "3475821")</f>
        <v>3475821</v>
      </c>
      <c r="AI368" s="5" t="str">
        <f>HYPERLINK(CONCATENATE(TabelleURL!$B$1,"3499_Taxi/34990017.pdf"), "34990017")</f>
        <v>34990017</v>
      </c>
      <c r="AL368" s="3" t="s">
        <v>7</v>
      </c>
      <c r="AN368" s="2" t="str">
        <f>HYPERLINK(CONCATENATE(TabelleURL!$B$1,"350_RICI_PDC_OBI/3500031 OBI Alfa BMW Fiat Merc Opel VW D_E.pdf"), "3500031")</f>
        <v>3500031</v>
      </c>
    </row>
    <row r="369" spans="1:46" ht="22.5">
      <c r="A369" s="1" t="s">
        <v>579</v>
      </c>
      <c r="B369" s="1" t="s">
        <v>580</v>
      </c>
      <c r="C369" s="1" t="s">
        <v>581</v>
      </c>
      <c r="D369" s="1" t="s">
        <v>582</v>
      </c>
      <c r="E369" s="76" t="s">
        <v>589</v>
      </c>
      <c r="G369" s="2" t="str">
        <f>HYPERLINK(CONCATENATE(TabelleURL!$B$1,"332_ADIF/332DB01.pdf"), "332DB01KA")</f>
        <v>332DB01KA</v>
      </c>
      <c r="I369" s="2" t="str">
        <f>HYPERLINK(CONCATENATE(TabelleURL!$B$1,"342_ADIF/342DB01ZI.pdf"), "342DB01/0/ZI")</f>
        <v>342DB01/0/ZI</v>
      </c>
      <c r="M369" s="5" t="str">
        <f>HYPERLINK(CONCATENATE(TabelleURL!$B$1,"345_Signalbox/3450253.pdf"), "3450253")</f>
        <v>3450253</v>
      </c>
      <c r="R369" s="66" t="s">
        <v>11</v>
      </c>
      <c r="S369" s="67" t="str">
        <f>HYPERLINK(CONCATENATE(TabelleURL!$B$1,"347_URI/3474721.pdf"), "B-3474723")</f>
        <v>B-3474723</v>
      </c>
      <c r="T369" s="63">
        <v>3474721</v>
      </c>
      <c r="U369" s="5" t="s">
        <v>590</v>
      </c>
      <c r="W369" s="5"/>
      <c r="X369" s="17"/>
      <c r="Y369" s="8"/>
      <c r="AC369" s="18"/>
      <c r="AF369" s="8" t="str">
        <f>HYPERLINK(CONCATENATE(TabelleURL!$B$1,"340_Helfer/3404700.pdf"), "B-3404700")</f>
        <v>B-3404700</v>
      </c>
      <c r="AG369" s="2" t="str">
        <f>HYPERLINK(CONCATENATE(TabelleURL!$B$1,"340_Helfer/3404701.pdf"), "3404701")</f>
        <v>3404701</v>
      </c>
      <c r="AH369" s="4" t="str">
        <f>HYPERLINK(CONCATENATE(TabelleURL!$B$1,"346_CAN2com/3475821.pdf"), "3475821")</f>
        <v>3475821</v>
      </c>
      <c r="AI369" s="5" t="str">
        <f>HYPERLINK(CONCATENATE(TabelleURL!$B$1,"3499_Taxi/34990017.pdf"), "34990017")</f>
        <v>34990017</v>
      </c>
      <c r="AL369" s="3" t="s">
        <v>7</v>
      </c>
      <c r="AN369" s="2" t="str">
        <f>HYPERLINK(CONCATENATE(TabelleURL!$B$1,"350_RICI_PDC_OBI/3500031 OBI Alfa BMW Fiat Merc Opel VW D_E.pdf"), "3500031")</f>
        <v>3500031</v>
      </c>
    </row>
    <row r="370" spans="1:46" ht="22.5">
      <c r="A370" s="1" t="s">
        <v>579</v>
      </c>
      <c r="B370" s="1" t="s">
        <v>580</v>
      </c>
      <c r="C370" s="1" t="s">
        <v>591</v>
      </c>
      <c r="D370" s="1" t="s">
        <v>1432</v>
      </c>
      <c r="E370" s="76" t="s">
        <v>592</v>
      </c>
      <c r="F370" s="70" t="s">
        <v>593</v>
      </c>
      <c r="G370" s="2" t="str">
        <f>HYPERLINK(CONCATENATE(TabelleURL!$B$1,"332_ADIF/332DB05.pdf"), "332DB05KA")</f>
        <v>332DB05KA</v>
      </c>
      <c r="I370" s="2" t="str">
        <f>HYPERLINK(CONCATENATE(TabelleURL!$B$1,"332_ADIF/332DB05ZI.pdf"), "332DB05/0/ZI")</f>
        <v>332DB05/0/ZI</v>
      </c>
      <c r="M370" s="5" t="str">
        <f>HYPERLINK(CONCATENATE(TabelleURL!$B$1,"345_Signalbox/3450254.pdf"), "3450254")</f>
        <v>3450254</v>
      </c>
      <c r="R370" s="66" t="s">
        <v>11</v>
      </c>
      <c r="S370" s="67" t="str">
        <f>HYPERLINK(CONCATENATE(TabelleURL!$B$1,"344_URI2/3444723.pdf"), "B-3444723")</f>
        <v>B-3444723</v>
      </c>
      <c r="T370" s="63"/>
      <c r="U370" s="5"/>
      <c r="W370" s="5"/>
      <c r="X370" s="17"/>
      <c r="Y370" s="8"/>
      <c r="AC370" s="18"/>
      <c r="AF370" s="8" t="str">
        <f>HYPERLINK(CONCATENATE(TabelleURL!$B$1,"340_Helfer/3404700.pdf"), "B-3404700")</f>
        <v>B-3404700</v>
      </c>
      <c r="AH370" s="4" t="str">
        <f>HYPERLINK(CONCATENATE(TabelleURL!$B$1,"346_CAN2com/3475821.pdf"), "3475821")</f>
        <v>3475821</v>
      </c>
      <c r="AI370" s="5" t="str">
        <f>HYPERLINK(CONCATENATE(TabelleURL!$B$1,"3499_Taxi/34990016.pdf"), "34990016")</f>
        <v>34990016</v>
      </c>
      <c r="AT370" s="2" t="str">
        <f>HYPERLINK(CONCATENATE(TabelleURL!$B$1,"340_Helfer/3406821.pdf"), "B-3406821")</f>
        <v>B-3406821</v>
      </c>
    </row>
    <row r="371" spans="1:46">
      <c r="A371" s="1" t="s">
        <v>1433</v>
      </c>
      <c r="B371" s="1" t="s">
        <v>580</v>
      </c>
      <c r="C371" s="1" t="s">
        <v>1434</v>
      </c>
      <c r="D371" s="1" t="s">
        <v>1389</v>
      </c>
      <c r="G371" s="2" t="str">
        <f>HYPERLINK(CONCATENATE(TabelleURL!$B$1,"332_ADIF/332DB06.pdf"), "332DB06KA")</f>
        <v>332DB06KA</v>
      </c>
      <c r="T371" s="63"/>
      <c r="U371" s="5"/>
      <c r="W371" s="5"/>
      <c r="X371" s="17"/>
      <c r="Y371" s="8"/>
      <c r="AC371" s="18"/>
      <c r="AT371" s="2"/>
    </row>
    <row r="372" spans="1:46" ht="22.5">
      <c r="A372" s="1" t="s">
        <v>579</v>
      </c>
      <c r="B372" s="1" t="s">
        <v>594</v>
      </c>
      <c r="C372" s="1" t="s">
        <v>595</v>
      </c>
      <c r="D372" s="1" t="s">
        <v>332</v>
      </c>
      <c r="E372" s="76" t="s">
        <v>587</v>
      </c>
      <c r="G372" s="2" t="str">
        <f>HYPERLINK(CONCATENATE(TabelleURL!$B$1,"342_ADIF/342DB19.pdf"), "342DB19/0")</f>
        <v>342DB19/0</v>
      </c>
      <c r="R372" s="66" t="s">
        <v>11</v>
      </c>
      <c r="S372" s="86" t="str">
        <f>HYPERLINK(CONCATENATE(TabelleURL!$B$1,"347_URI/3474725.pdf"), "B-3474725")</f>
        <v>B-3474725</v>
      </c>
      <c r="T372" s="63"/>
      <c r="U372" s="5"/>
      <c r="W372" s="5"/>
      <c r="X372" s="17"/>
      <c r="Y372" s="8"/>
      <c r="AC372" s="18"/>
    </row>
    <row r="373" spans="1:46">
      <c r="A373" s="1" t="s">
        <v>579</v>
      </c>
      <c r="B373" s="1" t="s">
        <v>594</v>
      </c>
      <c r="C373" s="1" t="s">
        <v>596</v>
      </c>
      <c r="D373" s="1" t="s">
        <v>86</v>
      </c>
      <c r="R373" s="66" t="s">
        <v>221</v>
      </c>
      <c r="S373" s="67" t="str">
        <f>HYPERLINK(CONCATENATE(TabelleURL!$B$1,"344_URI2/3444725.pdf"), "B-3444725")</f>
        <v>B-3444725</v>
      </c>
      <c r="T373" s="63"/>
      <c r="U373" s="5"/>
      <c r="V373" s="4" t="str">
        <f>HYPERLINK(CONCATENATE(TabelleURL!$B$1,"344_URI2/3444725.pdf"), "B-3444725")</f>
        <v>B-3444725</v>
      </c>
      <c r="W373" s="5"/>
      <c r="X373" s="17"/>
      <c r="Y373" s="8"/>
      <c r="AC373" s="18"/>
    </row>
    <row r="374" spans="1:46" ht="45">
      <c r="A374" s="1" t="s">
        <v>579</v>
      </c>
      <c r="B374" s="1" t="s">
        <v>597</v>
      </c>
      <c r="C374" s="1" t="s">
        <v>225</v>
      </c>
      <c r="D374" s="1" t="s">
        <v>19</v>
      </c>
      <c r="E374" s="78" t="s">
        <v>598</v>
      </c>
      <c r="R374" s="66" t="s">
        <v>221</v>
      </c>
      <c r="S374" s="67" t="str">
        <f>HYPERLINK(CONCATENATE(TabelleURL!$B$1,"344_URI2/3444725.pdf"), "B-3444725")</f>
        <v>B-3444725</v>
      </c>
      <c r="T374" s="63"/>
      <c r="U374" s="5"/>
      <c r="V374" s="4" t="str">
        <f>HYPERLINK(CONCATENATE(TabelleURL!$B$1,"344_URI2/3444725.pdf"), "B-3444725")</f>
        <v>B-3444725</v>
      </c>
      <c r="W374" s="5"/>
      <c r="X374" s="17"/>
      <c r="Y374" s="8"/>
      <c r="AC374" s="18"/>
    </row>
    <row r="375" spans="1:46">
      <c r="A375" s="1" t="s">
        <v>579</v>
      </c>
      <c r="B375" s="1" t="s">
        <v>599</v>
      </c>
      <c r="C375" s="1" t="s">
        <v>600</v>
      </c>
      <c r="D375" s="1" t="s">
        <v>601</v>
      </c>
      <c r="E375" s="76" t="s">
        <v>583</v>
      </c>
      <c r="G375" s="2" t="str">
        <f>HYPERLINK(CONCATENATE(TabelleURL!$B$1,"332_ADIF/332DB01.pdf"), "332DB01KA")</f>
        <v>332DB01KA</v>
      </c>
      <c r="I375" s="2" t="str">
        <f>HYPERLINK(CONCATENATE(TabelleURL!$B$1,"342_ADIF/342DB01ZI.pdf"), "342DB01/0/ZI")</f>
        <v>342DB01/0/ZI</v>
      </c>
      <c r="M375" s="5" t="str">
        <f>HYPERLINK(CONCATENATE(TabelleURL!$B$1,"345_Signalbox/3450253.pdf"), "3450253")</f>
        <v>3450253</v>
      </c>
      <c r="R375" s="66" t="s">
        <v>11</v>
      </c>
      <c r="S375" s="67" t="str">
        <f>HYPERLINK(CONCATENATE(TabelleURL!$B$1,"347_URI/3474721.pdf"), "B-3474721")</f>
        <v>B-3474721</v>
      </c>
      <c r="T375" s="63">
        <v>3474721</v>
      </c>
      <c r="U375" s="5" t="s">
        <v>584</v>
      </c>
      <c r="W375" s="5"/>
      <c r="X375" s="17"/>
      <c r="Y375" s="8"/>
      <c r="AC375" s="18"/>
      <c r="AF375" s="8" t="str">
        <f>HYPERLINK(CONCATENATE(TabelleURL!$B$1,"340_Helfer/3404700.pdf"), "B-3404700")</f>
        <v>B-3404700</v>
      </c>
      <c r="AG375" s="2" t="str">
        <f>HYPERLINK(CONCATENATE(TabelleURL!$B$1,"340_Helfer/3404701.pdf"), "3404701")</f>
        <v>3404701</v>
      </c>
      <c r="AH375" s="4" t="str">
        <f>HYPERLINK(CONCATENATE(TabelleURL!$B$1,"346_CAN2com/3475821.pdf"), "3475821")</f>
        <v>3475821</v>
      </c>
      <c r="AI375" s="5" t="str">
        <f>HYPERLINK(CONCATENATE(TabelleURL!$B$1,"3499_Taxi/34990017.pdf"), "34990017")</f>
        <v>34990017</v>
      </c>
      <c r="AL375" s="3" t="s">
        <v>7</v>
      </c>
      <c r="AN375" s="2" t="str">
        <f>HYPERLINK(CONCATENATE(TabelleURL!$B$1,"350_RICI_PDC_OBI/3500031 OBI Alfa BMW Fiat Merc Opel VW D_E.pdf"), "3500031")</f>
        <v>3500031</v>
      </c>
    </row>
    <row r="376" spans="1:46">
      <c r="A376" s="1" t="s">
        <v>579</v>
      </c>
      <c r="B376" s="1" t="s">
        <v>599</v>
      </c>
      <c r="C376" s="1" t="s">
        <v>600</v>
      </c>
      <c r="D376" s="1" t="s">
        <v>601</v>
      </c>
      <c r="E376" s="76" t="s">
        <v>585</v>
      </c>
      <c r="G376" s="2" t="str">
        <f>HYPERLINK(CONCATENATE(TabelleURL!$B$1,"332_ADIF/332DB01.pdf"), "332DB01KA")</f>
        <v>332DB01KA</v>
      </c>
      <c r="I376" s="2" t="str">
        <f>HYPERLINK(CONCATENATE(TabelleURL!$B$1,"342_ADIF/342DB01ZI.pdf"), "342DB01/0/ZI")</f>
        <v>342DB01/0/ZI</v>
      </c>
      <c r="M376" s="5" t="str">
        <f>HYPERLINK(CONCATENATE(TabelleURL!$B$1,"345_Signalbox/3450253.pdf"), "3450253")</f>
        <v>3450253</v>
      </c>
      <c r="R376" s="66" t="s">
        <v>11</v>
      </c>
      <c r="S376" s="67" t="str">
        <f>HYPERLINK(CONCATENATE(TabelleURL!$B$1,"347_URI/3474721.pdf"), "B-3474722")</f>
        <v>B-3474722</v>
      </c>
      <c r="T376" s="63">
        <v>3474721</v>
      </c>
      <c r="U376" s="5" t="s">
        <v>586</v>
      </c>
      <c r="W376" s="5"/>
      <c r="X376" s="17"/>
      <c r="Y376" s="8"/>
      <c r="AC376" s="18"/>
      <c r="AF376" s="8" t="str">
        <f>HYPERLINK(CONCATENATE(TabelleURL!$B$1,"340_Helfer/3404700.pdf"), "B-3404700")</f>
        <v>B-3404700</v>
      </c>
      <c r="AG376" s="2" t="str">
        <f>HYPERLINK(CONCATENATE(TabelleURL!$B$1,"340_Helfer/3404701.pdf"), "3404701")</f>
        <v>3404701</v>
      </c>
      <c r="AH376" s="4" t="str">
        <f>HYPERLINK(CONCATENATE(TabelleURL!$B$1,"346_CAN2com/3475821.pdf"), "3475821")</f>
        <v>3475821</v>
      </c>
      <c r="AI376" s="5" t="str">
        <f>HYPERLINK(CONCATENATE(TabelleURL!$B$1,"3499_Taxi/34990017.pdf"), "34990017")</f>
        <v>34990017</v>
      </c>
      <c r="AL376" s="3" t="s">
        <v>7</v>
      </c>
      <c r="AN376" s="2" t="str">
        <f>HYPERLINK(CONCATENATE(TabelleURL!$B$1,"350_RICI_PDC_OBI/3500031 OBI Alfa BMW Fiat Merc Opel VW D_E.pdf"), "3500031")</f>
        <v>3500031</v>
      </c>
    </row>
    <row r="377" spans="1:46" ht="22.5">
      <c r="A377" s="1" t="s">
        <v>579</v>
      </c>
      <c r="B377" s="1" t="s">
        <v>599</v>
      </c>
      <c r="C377" s="1" t="s">
        <v>600</v>
      </c>
      <c r="D377" s="1" t="s">
        <v>601</v>
      </c>
      <c r="E377" s="76" t="s">
        <v>587</v>
      </c>
      <c r="G377" s="2" t="str">
        <f>HYPERLINK(CONCATENATE(TabelleURL!$B$1,"332_ADIF/332DB01.pdf"), "332DB01KA")</f>
        <v>332DB01KA</v>
      </c>
      <c r="I377" s="2" t="str">
        <f>HYPERLINK(CONCATENATE(TabelleURL!$B$1,"342_ADIF/342DB01ZI.pdf"), "342DB01/0/ZI")</f>
        <v>342DB01/0/ZI</v>
      </c>
      <c r="M377" s="5" t="str">
        <f>HYPERLINK(CONCATENATE(TabelleURL!$B$1,"345_Signalbox/3450253.pdf"), "3450253")</f>
        <v>3450253</v>
      </c>
      <c r="R377" s="66" t="s">
        <v>11</v>
      </c>
      <c r="S377" s="67" t="str">
        <f>HYPERLINK(CONCATENATE(TabelleURL!$B$1,"347_URI/3474721.pdf"), "B-3474724")</f>
        <v>B-3474724</v>
      </c>
      <c r="T377" s="63">
        <v>3474721</v>
      </c>
      <c r="U377" s="5" t="s">
        <v>588</v>
      </c>
      <c r="W377" s="5"/>
      <c r="X377" s="17"/>
      <c r="Y377" s="8"/>
      <c r="AC377" s="18"/>
      <c r="AF377" s="8" t="str">
        <f>HYPERLINK(CONCATENATE(TabelleURL!$B$1,"340_Helfer/3404700.pdf"), "B-3404700")</f>
        <v>B-3404700</v>
      </c>
      <c r="AG377" s="2" t="str">
        <f>HYPERLINK(CONCATENATE(TabelleURL!$B$1,"340_Helfer/3404701.pdf"), "3404701")</f>
        <v>3404701</v>
      </c>
      <c r="AH377" s="4" t="str">
        <f>HYPERLINK(CONCATENATE(TabelleURL!$B$1,"346_CAN2com/3475821.pdf"), "3475821")</f>
        <v>3475821</v>
      </c>
      <c r="AI377" s="5" t="str">
        <f>HYPERLINK(CONCATENATE(TabelleURL!$B$1,"3499_Taxi/34990017.pdf"), "34990017")</f>
        <v>34990017</v>
      </c>
      <c r="AL377" s="3" t="s">
        <v>7</v>
      </c>
      <c r="AN377" s="2" t="str">
        <f>HYPERLINK(CONCATENATE(TabelleURL!$B$1,"350_RICI_PDC_OBI/3500031 OBI Alfa BMW Fiat Merc Opel VW D_E.pdf"), "3500031")</f>
        <v>3500031</v>
      </c>
    </row>
    <row r="378" spans="1:46" ht="22.5">
      <c r="A378" s="1" t="s">
        <v>579</v>
      </c>
      <c r="B378" s="1" t="s">
        <v>599</v>
      </c>
      <c r="C378" s="1" t="s">
        <v>600</v>
      </c>
      <c r="D378" s="1" t="s">
        <v>601</v>
      </c>
      <c r="E378" s="76" t="s">
        <v>589</v>
      </c>
      <c r="F378" s="70" t="s">
        <v>602</v>
      </c>
      <c r="G378" s="2" t="str">
        <f>HYPERLINK(CONCATENATE(TabelleURL!$B$1,"332_ADIF/332DB01.pdf"), "332DB01KA")</f>
        <v>332DB01KA</v>
      </c>
      <c r="I378" s="2" t="str">
        <f>HYPERLINK(CONCATENATE(TabelleURL!$B$1,"342_ADIF/342DB01ZI.pdf"), "342DB01/0/ZI")</f>
        <v>342DB01/0/ZI</v>
      </c>
      <c r="M378" s="5" t="str">
        <f>HYPERLINK(CONCATENATE(TabelleURL!$B$1,"345_Signalbox/3450253.pdf"), "3450253")</f>
        <v>3450253</v>
      </c>
      <c r="R378" s="66" t="s">
        <v>11</v>
      </c>
      <c r="S378" s="67" t="str">
        <f>HYPERLINK(CONCATENATE(TabelleURL!$B$1,"347_URI/3474721.pdf"), "B-3474723")</f>
        <v>B-3474723</v>
      </c>
      <c r="T378" s="63">
        <v>3474721</v>
      </c>
      <c r="U378" s="5" t="s">
        <v>590</v>
      </c>
      <c r="W378" s="5"/>
      <c r="X378" s="17"/>
      <c r="Y378" s="8"/>
      <c r="AC378" s="18"/>
      <c r="AF378" s="8" t="str">
        <f>HYPERLINK(CONCATENATE(TabelleURL!$B$1,"340_Helfer/3404700.pdf"), "B-3404700")</f>
        <v>B-3404700</v>
      </c>
      <c r="AG378" s="2" t="str">
        <f>HYPERLINK(CONCATENATE(TabelleURL!$B$1,"340_Helfer/3404701.pdf"), "3404701")</f>
        <v>3404701</v>
      </c>
      <c r="AH378" s="4" t="str">
        <f>HYPERLINK(CONCATENATE(TabelleURL!$B$1,"346_CAN2com/3475821.pdf"), "3475821")</f>
        <v>3475821</v>
      </c>
      <c r="AI378" s="5" t="str">
        <f>HYPERLINK(CONCATENATE(TabelleURL!$B$1,"3499_Taxi/34990017.pdf"), "34990017")</f>
        <v>34990017</v>
      </c>
      <c r="AL378" s="3" t="s">
        <v>7</v>
      </c>
      <c r="AN378" s="2" t="str">
        <f>HYPERLINK(CONCATENATE(TabelleURL!$B$1,"350_RICI_PDC_OBI/3500031 OBI Alfa BMW Fiat Merc Opel VW D_E.pdf"), "3500031")</f>
        <v>3500031</v>
      </c>
    </row>
    <row r="379" spans="1:46">
      <c r="A379" s="1" t="s">
        <v>579</v>
      </c>
      <c r="B379" s="1" t="s">
        <v>599</v>
      </c>
      <c r="C379" s="1" t="s">
        <v>603</v>
      </c>
      <c r="D379" s="1" t="s">
        <v>1412</v>
      </c>
      <c r="E379" s="76" t="s">
        <v>604</v>
      </c>
      <c r="F379" s="70" t="s">
        <v>605</v>
      </c>
      <c r="G379" s="2" t="str">
        <f>HYPERLINK(CONCATENATE(TabelleURL!$B$1,"332_ADIF/332DB05.pdf"), "332DB05KA")</f>
        <v>332DB05KA</v>
      </c>
      <c r="I379" s="2" t="str">
        <f>HYPERLINK(CONCATENATE(TabelleURL!$B$1,"332_ADIF/332DB05ZI.pdf"), "332DB05/0/ZI")</f>
        <v>332DB05/0/ZI</v>
      </c>
      <c r="M379" s="5" t="str">
        <f>HYPERLINK(CONCATENATE(TabelleURL!$B$1,"345_Signalbox/3450254.pdf"), "3450254")</f>
        <v>3450254</v>
      </c>
      <c r="T379" s="63"/>
      <c r="U379" s="5"/>
      <c r="W379" s="5"/>
      <c r="X379" s="17"/>
      <c r="Y379" s="8"/>
      <c r="AC379" s="18"/>
      <c r="AF379" s="8" t="str">
        <f>HYPERLINK(CONCATENATE(TabelleURL!$B$1,"340_Helfer/3404700.pdf"), "B-3404700")</f>
        <v>B-3404700</v>
      </c>
      <c r="AG379" s="2" t="str">
        <f>HYPERLINK(CONCATENATE(TabelleURL!$B$1,"340_Helfer/3404701.pdf"), "3404701")</f>
        <v>3404701</v>
      </c>
      <c r="AH379" s="4" t="str">
        <f>HYPERLINK(CONCATENATE(TabelleURL!$B$1,"346_CAN2com/3475821.pdf"), "3475821")</f>
        <v>3475821</v>
      </c>
      <c r="AI379" s="5" t="str">
        <f>HYPERLINK(CONCATENATE(TabelleURL!$B$1,"3499_Taxi/34990016.pdf"), "34990016")</f>
        <v>34990016</v>
      </c>
      <c r="AT379" s="2" t="str">
        <f>HYPERLINK(CONCATENATE(TabelleURL!$B$1,"340_Helfer/3406821.pdf"), "B-3406821")</f>
        <v>B-3406821</v>
      </c>
    </row>
    <row r="380" spans="1:46" ht="25.5">
      <c r="A380" s="1" t="s">
        <v>579</v>
      </c>
      <c r="B380" s="1" t="s">
        <v>606</v>
      </c>
      <c r="C380" s="1" t="s">
        <v>607</v>
      </c>
      <c r="D380" s="1" t="s">
        <v>608</v>
      </c>
      <c r="E380" s="76" t="s">
        <v>585</v>
      </c>
      <c r="G380" s="2" t="str">
        <f>HYPERLINK(CONCATENATE(TabelleURL!$B$1,"332_ADIF/332DB01.pdf"), "332DB01KA")</f>
        <v>332DB01KA</v>
      </c>
      <c r="I380" s="2" t="str">
        <f>HYPERLINK(CONCATENATE(TabelleURL!$B$1,"342_ADIF/342DB01ZI.pdf"), "342DB01/0/ZI")</f>
        <v>342DB01/0/ZI</v>
      </c>
      <c r="M380" s="5" t="str">
        <f>HYPERLINK(CONCATENATE(TabelleURL!$B$1,"345_Signalbox/3450253.pdf"), "3450253")</f>
        <v>3450253</v>
      </c>
      <c r="R380" s="66" t="s">
        <v>11</v>
      </c>
      <c r="S380" s="67" t="str">
        <f>HYPERLINK(CONCATENATE(TabelleURL!$B$1,"347_URI/3474721.pdf"), "B-3474722")</f>
        <v>B-3474722</v>
      </c>
      <c r="T380" s="63">
        <v>3474721</v>
      </c>
      <c r="U380" s="5" t="s">
        <v>586</v>
      </c>
      <c r="W380" s="5"/>
      <c r="X380" s="17"/>
      <c r="Y380" s="8"/>
      <c r="AA380" s="4" t="s">
        <v>609</v>
      </c>
      <c r="AC380" s="18"/>
      <c r="AF380" s="8" t="str">
        <f>HYPERLINK(CONCATENATE(TabelleURL!$B$1,"340_Helfer/3404700.pdf"), "B-3404700")</f>
        <v>B-3404700</v>
      </c>
      <c r="AG380" s="2" t="str">
        <f>HYPERLINK(CONCATENATE(TabelleURL!$B$1,"340_Helfer/3404701.pdf"), "3404701")</f>
        <v>3404701</v>
      </c>
      <c r="AH380" s="4" t="str">
        <f>HYPERLINK(CONCATENATE(TabelleURL!$B$1,"346_CAN2com/3475821.pdf"), "3475821")</f>
        <v>3475821</v>
      </c>
      <c r="AI380" s="5" t="str">
        <f>HYPERLINK(CONCATENATE(TabelleURL!$B$1,"3499_Taxi/34990010.pdf"), "34990010")</f>
        <v>34990010</v>
      </c>
      <c r="AL380" s="3" t="s">
        <v>7</v>
      </c>
      <c r="AN380" s="2" t="str">
        <f>HYPERLINK(CONCATENATE(TabelleURL!$B$1,"350_RICI_PDC_OBI/3500031 OBI Alfa BMW Fiat Merc Opel VW D_E.pdf"), "3500031")</f>
        <v>3500031</v>
      </c>
      <c r="AQ380" s="7" t="s">
        <v>610</v>
      </c>
    </row>
    <row r="381" spans="1:46" ht="25.5">
      <c r="A381" s="1" t="s">
        <v>579</v>
      </c>
      <c r="B381" s="1" t="s">
        <v>606</v>
      </c>
      <c r="C381" s="1" t="s">
        <v>607</v>
      </c>
      <c r="D381" s="1" t="s">
        <v>608</v>
      </c>
      <c r="E381" s="76" t="s">
        <v>587</v>
      </c>
      <c r="G381" s="2" t="str">
        <f>HYPERLINK(CONCATENATE(TabelleURL!$B$1,"332_ADIF/332DB01.pdf"), "332DB01KA")</f>
        <v>332DB01KA</v>
      </c>
      <c r="I381" s="2" t="str">
        <f>HYPERLINK(CONCATENATE(TabelleURL!$B$1,"342_ADIF/342DB01ZI.pdf"), "342DB01/0/ZI")</f>
        <v>342DB01/0/ZI</v>
      </c>
      <c r="M381" s="5" t="str">
        <f>HYPERLINK(CONCATENATE(TabelleURL!$B$1,"345_Signalbox/3450253.pdf"), "3450253")</f>
        <v>3450253</v>
      </c>
      <c r="R381" s="66" t="s">
        <v>11</v>
      </c>
      <c r="S381" s="67" t="str">
        <f>HYPERLINK(CONCATENATE(TabelleURL!$B$1,"347_URI/3474721.pdf"), "B-3474724")</f>
        <v>B-3474724</v>
      </c>
      <c r="T381" s="63">
        <v>3474721</v>
      </c>
      <c r="U381" s="5" t="s">
        <v>588</v>
      </c>
      <c r="W381" s="5"/>
      <c r="X381" s="17"/>
      <c r="Y381" s="8"/>
      <c r="AA381" s="4" t="s">
        <v>609</v>
      </c>
      <c r="AC381" s="18"/>
      <c r="AF381" s="8" t="str">
        <f>HYPERLINK(CONCATENATE(TabelleURL!$B$1,"340_Helfer/3404700.pdf"), "B-3404700")</f>
        <v>B-3404700</v>
      </c>
      <c r="AG381" s="2" t="str">
        <f>HYPERLINK(CONCATENATE(TabelleURL!$B$1,"340_Helfer/3404701.pdf"), "3404701")</f>
        <v>3404701</v>
      </c>
      <c r="AH381" s="4" t="str">
        <f>HYPERLINK(CONCATENATE(TabelleURL!$B$1,"346_CAN2com/3475821.pdf"), "3475821")</f>
        <v>3475821</v>
      </c>
      <c r="AI381" s="5" t="str">
        <f>HYPERLINK(CONCATENATE(TabelleURL!$B$1,"3499_Taxi/34990010.pdf"), "34990010")</f>
        <v>34990010</v>
      </c>
      <c r="AL381" s="3" t="s">
        <v>7</v>
      </c>
      <c r="AN381" s="2" t="str">
        <f>HYPERLINK(CONCATENATE(TabelleURL!$B$1,"350_RICI_PDC_OBI/3500031 OBI Alfa BMW Fiat Merc Opel VW D_E.pdf"), "3500031")</f>
        <v>3500031</v>
      </c>
      <c r="AQ381" s="7" t="s">
        <v>610</v>
      </c>
    </row>
    <row r="382" spans="1:46" ht="22.5">
      <c r="A382" s="1" t="s">
        <v>579</v>
      </c>
      <c r="B382" s="1" t="s">
        <v>606</v>
      </c>
      <c r="C382" s="1" t="s">
        <v>607</v>
      </c>
      <c r="D382" s="1" t="s">
        <v>608</v>
      </c>
      <c r="E382" s="76" t="s">
        <v>589</v>
      </c>
      <c r="G382" s="2" t="str">
        <f>HYPERLINK(CONCATENATE(TabelleURL!$B$1,"332_ADIF/332DB01.pdf"), "332DB01KA")</f>
        <v>332DB01KA</v>
      </c>
      <c r="I382" s="2" t="str">
        <f>HYPERLINK(CONCATENATE(TabelleURL!$B$1,"342_ADIF/342DB01ZI.pdf"), "342DB01/0/ZI")</f>
        <v>342DB01/0/ZI</v>
      </c>
      <c r="M382" s="5" t="str">
        <f>HYPERLINK(CONCATENATE(TabelleURL!$B$1,"345_Signalbox/3450253.pdf"), "3450253")</f>
        <v>3450253</v>
      </c>
      <c r="R382" s="66" t="s">
        <v>11</v>
      </c>
      <c r="S382" s="67" t="str">
        <f>HYPERLINK(CONCATENATE(TabelleURL!$B$1,"347_URI/3474721.pdf"), "B-3474723")</f>
        <v>B-3474723</v>
      </c>
      <c r="T382" s="63">
        <v>3474721</v>
      </c>
      <c r="U382" s="5" t="s">
        <v>590</v>
      </c>
      <c r="W382" s="5"/>
      <c r="X382" s="17"/>
      <c r="Y382" s="8"/>
      <c r="AC382" s="18"/>
      <c r="AF382" s="8" t="str">
        <f>HYPERLINK(CONCATENATE(TabelleURL!$B$1,"340_Helfer/3404700.pdf"), "B-3404700")</f>
        <v>B-3404700</v>
      </c>
      <c r="AG382" s="2" t="str">
        <f>HYPERLINK(CONCATENATE(TabelleURL!$B$1,"340_Helfer/3404701.pdf"), "3404701")</f>
        <v>3404701</v>
      </c>
      <c r="AH382" s="4" t="str">
        <f>HYPERLINK(CONCATENATE(TabelleURL!$B$1,"346_CAN2com/3475821.pdf"), "3475821")</f>
        <v>3475821</v>
      </c>
      <c r="AI382" s="5" t="str">
        <f>HYPERLINK(CONCATENATE(TabelleURL!$B$1,"3499_Taxi/34990010.pdf"), "34990010")</f>
        <v>34990010</v>
      </c>
      <c r="AL382" s="3" t="s">
        <v>7</v>
      </c>
      <c r="AN382" s="2" t="str">
        <f>HYPERLINK(CONCATENATE(TabelleURL!$B$1,"350_RICI_PDC_OBI/3500031 OBI Alfa BMW Fiat Merc Opel VW D_E.pdf"), "3500031")</f>
        <v>3500031</v>
      </c>
      <c r="AQ382" s="7" t="s">
        <v>610</v>
      </c>
    </row>
    <row r="383" spans="1:46">
      <c r="A383" s="1" t="s">
        <v>579</v>
      </c>
      <c r="B383" s="1" t="s">
        <v>606</v>
      </c>
      <c r="C383" s="1" t="s">
        <v>611</v>
      </c>
      <c r="D383" s="1" t="s">
        <v>251</v>
      </c>
      <c r="G383" s="2" t="str">
        <f>HYPERLINK(CONCATENATE(TabelleURL!$B$1,"332_ADIF/332DB05.pdf"), "332DB05KA")</f>
        <v>332DB05KA</v>
      </c>
      <c r="I383" s="2" t="str">
        <f>HYPERLINK(CONCATENATE(TabelleURL!$B$1,"332_ADIF/332DB05ZI.pdf"), "332DB05/0/ZI")</f>
        <v>332DB05/0/ZI</v>
      </c>
      <c r="M383" s="5" t="str">
        <f>HYPERLINK(CONCATENATE(TabelleURL!$B$1,"345_Signalbox/3450254.pdf"), "3450254")</f>
        <v>3450254</v>
      </c>
      <c r="R383" s="66" t="s">
        <v>11</v>
      </c>
      <c r="S383" s="67" t="str">
        <f>HYPERLINK(CONCATENATE(TabelleURL!$B$1,"344_URI2/3444723.pdf"), "B-3444723")</f>
        <v>B-3444723</v>
      </c>
      <c r="T383" s="63"/>
      <c r="U383" s="5"/>
      <c r="W383" s="5"/>
      <c r="X383" s="17"/>
      <c r="Y383" s="8"/>
      <c r="AC383" s="18"/>
      <c r="AF383" s="8" t="str">
        <f>HYPERLINK(CONCATENATE(TabelleURL!$B$1,"340_Helfer/3404700.pdf"), "B-3404700")</f>
        <v>B-3404700</v>
      </c>
      <c r="AG383" s="2" t="str">
        <f>HYPERLINK(CONCATENATE(TabelleURL!$B$1,"340_Helfer/3404701.pdf"), "3404701")</f>
        <v>3404701</v>
      </c>
      <c r="AH383" s="4" t="str">
        <f>HYPERLINK(CONCATENATE(TabelleURL!$B$1,"346_CAN2com/3475821.pdf"), "3475821")</f>
        <v>3475821</v>
      </c>
      <c r="AI383" s="5" t="str">
        <f>HYPERLINK(CONCATENATE(TabelleURL!$B$1,"3499_Taxi/34990016.pdf"), "34990016")</f>
        <v>34990016</v>
      </c>
      <c r="AQ383" s="7" t="s">
        <v>612</v>
      </c>
      <c r="AT383" s="2" t="str">
        <f>HYPERLINK(CONCATENATE(TabelleURL!$B$1,"340_Helfer/3406821.pdf"), "B-3406821")</f>
        <v>B-3406821</v>
      </c>
    </row>
    <row r="384" spans="1:46">
      <c r="A384" s="1" t="s">
        <v>579</v>
      </c>
      <c r="B384" s="1" t="s">
        <v>606</v>
      </c>
      <c r="C384" s="1" t="s">
        <v>613</v>
      </c>
      <c r="D384" s="1" t="s">
        <v>116</v>
      </c>
      <c r="G384" s="2" t="str">
        <f>HYPERLINK(CONCATENATE(TabelleURL!$B$1,"332_ADIF/332DB06.pdf"), "332DB06KA")</f>
        <v>332DB06KA</v>
      </c>
      <c r="M384" s="5" t="str">
        <f>HYPERLINK(CONCATENATE(TabelleURL!$B$1,"345_Signalbox/3450292.pdf"), "3450292")</f>
        <v>3450292</v>
      </c>
      <c r="P384" s="5" t="str">
        <f>HYPERLINK(CONCATENATE(TabelleURL!$B$1,"345_Signalbox/3450292-W.pdf"), "3450292-W")</f>
        <v>3450292-W</v>
      </c>
      <c r="T384" s="63"/>
      <c r="U384" s="5"/>
      <c r="W384" s="5"/>
      <c r="X384" s="17"/>
      <c r="Y384" s="8"/>
      <c r="AC384" s="18"/>
      <c r="AI384" s="5" t="str">
        <f>HYPERLINK(CONCATENATE(TabelleURL!$B$1,"3499_Taxi/34990014.pdf"), "34990014")</f>
        <v>34990014</v>
      </c>
    </row>
    <row r="385" spans="1:47">
      <c r="A385" s="1" t="s">
        <v>579</v>
      </c>
      <c r="B385" s="1" t="s">
        <v>614</v>
      </c>
      <c r="C385" s="1" t="s">
        <v>615</v>
      </c>
      <c r="D385" s="1" t="s">
        <v>616</v>
      </c>
      <c r="F385" s="70" t="s">
        <v>617</v>
      </c>
      <c r="G385" s="2" t="str">
        <f>HYPERLINK(CONCATENATE(TabelleURL!$B$1,"32_ADIF/332RE01.pdf"), "332RE01KA")</f>
        <v>332RE01KA</v>
      </c>
      <c r="I385" s="2" t="str">
        <f>HYPERLINK(CONCATENATE(TabelleURL!$B$1,"342_ADIF/342RE01ZI.pdf"), "342RE01/0/ZI")</f>
        <v>342RE01/0/ZI</v>
      </c>
      <c r="L385" s="4" t="str">
        <f>HYPERLINK(CONCATENATE(TabelleURL!$B$1,"340_Helfer/3404799.pdf"), "3404799")</f>
        <v>3404799</v>
      </c>
      <c r="T385" s="63"/>
      <c r="U385" s="5"/>
      <c r="W385" s="5"/>
      <c r="X385" s="17"/>
      <c r="Y385" s="8"/>
      <c r="AC385" s="18"/>
    </row>
    <row r="386" spans="1:47">
      <c r="A386" s="1" t="s">
        <v>579</v>
      </c>
      <c r="B386" s="1" t="s">
        <v>618</v>
      </c>
      <c r="C386" s="1" t="s">
        <v>619</v>
      </c>
      <c r="D386" s="1" t="s">
        <v>19</v>
      </c>
      <c r="F386" s="70" t="s">
        <v>593</v>
      </c>
      <c r="G386" s="2" t="str">
        <f>HYPERLINK(CONCATENATE(TabelleURL!$B$1,"332_ADIF/332DB05.pdf"), "332DB05KA")</f>
        <v>332DB05KA</v>
      </c>
      <c r="I386" s="2" t="str">
        <f>HYPERLINK(CONCATENATE(TabelleURL!$B$1,"332_ADIF/332DB05ZI.pdf"), "332DB05/0/ZI")</f>
        <v>332DB05/0/ZI</v>
      </c>
      <c r="M386" s="5" t="str">
        <f>HYPERLINK(CONCATENATE(TabelleURL!$B$1,"345_Signalbox/3450254.pdf"), "3450254")</f>
        <v>3450254</v>
      </c>
      <c r="R386" s="66" t="s">
        <v>11</v>
      </c>
      <c r="S386" s="67" t="str">
        <f>HYPERLINK(CONCATENATE(TabelleURL!$B$1,"344_URI2/3444723.pdf"), "B-3444723")</f>
        <v>B-3444723</v>
      </c>
      <c r="T386" s="63"/>
      <c r="U386" s="5"/>
      <c r="W386" s="5"/>
      <c r="X386" s="17"/>
      <c r="Y386" s="8"/>
      <c r="AC386" s="18"/>
      <c r="AH386" s="4" t="str">
        <f>HYPERLINK(CONCATENATE(TabelleURL!$B$1,"346_CAN2com/3475821.pdf"), "3475821")</f>
        <v>3475821</v>
      </c>
      <c r="AI386" s="5" t="str">
        <f>HYPERLINK(CONCATENATE(TabelleURL!$B$1,"3499_Taxi/34990016.pdf"), "34990016")</f>
        <v>34990016</v>
      </c>
    </row>
    <row r="387" spans="1:47">
      <c r="A387" s="1" t="s">
        <v>579</v>
      </c>
      <c r="B387" s="1" t="s">
        <v>620</v>
      </c>
      <c r="C387" s="1" t="s">
        <v>621</v>
      </c>
      <c r="D387" s="1" t="s">
        <v>622</v>
      </c>
      <c r="E387" s="76" t="s">
        <v>623</v>
      </c>
      <c r="G387" s="2" t="str">
        <f>HYPERLINK(CONCATENATE(TabelleURL!$B$1,"342_ADIF/342DB01PD.pdf"), "342DB01/0/PD")</f>
        <v>342DB01/0/PD</v>
      </c>
      <c r="R387" s="66" t="s">
        <v>11</v>
      </c>
      <c r="S387" s="67" t="str">
        <f>HYPERLINK(CONCATENATE(TabelleURL!$B$1,"347_URI/3474721.pdf"), "B-3474722")</f>
        <v>B-3474722</v>
      </c>
      <c r="T387" s="63">
        <v>3474721</v>
      </c>
      <c r="U387" s="5" t="s">
        <v>586</v>
      </c>
      <c r="W387" s="5"/>
      <c r="X387" s="17"/>
      <c r="Y387" s="8"/>
      <c r="AC387" s="18"/>
      <c r="AF387" s="8" t="str">
        <f>HYPERLINK(CONCATENATE(TabelleURL!$B$1,"340_Helfer/3404700.pdf"), "B-3404700")</f>
        <v>B-3404700</v>
      </c>
      <c r="AG387" s="2" t="str">
        <f>HYPERLINK(CONCATENATE(TabelleURL!$B$1,"340_Helfer/3404701.pdf"), "3404701")</f>
        <v>3404701</v>
      </c>
      <c r="AH387" s="4" t="str">
        <f>HYPERLINK(CONCATENATE(TabelleURL!$B$1,"346_CAN2com/3475821.pdf"), "3475821")</f>
        <v>3475821</v>
      </c>
      <c r="AL387" s="3" t="s">
        <v>7</v>
      </c>
      <c r="AN387" s="2" t="str">
        <f>HYPERLINK(CONCATENATE(TabelleURL!$B$1,"350_RICI_PDC_OBI/3500031 OBI Alfa BMW Fiat Merc Opel VW D_E.pdf"), "3500031")</f>
        <v>3500031</v>
      </c>
    </row>
    <row r="388" spans="1:47">
      <c r="A388" s="1" t="s">
        <v>579</v>
      </c>
      <c r="B388" s="1" t="s">
        <v>620</v>
      </c>
      <c r="C388" s="1" t="s">
        <v>624</v>
      </c>
      <c r="D388" s="1" t="s">
        <v>625</v>
      </c>
      <c r="E388" s="76" t="s">
        <v>585</v>
      </c>
      <c r="G388" s="2" t="str">
        <f>HYPERLINK(CONCATENATE(TabelleURL!$B$1,"332_ADIF/332DB01.pdf"), "332DB01KA")</f>
        <v>332DB01KA</v>
      </c>
      <c r="I388" s="2" t="str">
        <f>HYPERLINK(CONCATENATE(TabelleURL!$B$1,"342_ADIF/342DB01ZI.pdf"), "342DB01/0/ZI")</f>
        <v>342DB01/0/ZI</v>
      </c>
      <c r="R388" s="66" t="s">
        <v>11</v>
      </c>
      <c r="S388" s="67" t="str">
        <f>HYPERLINK(CONCATENATE(TabelleURL!$B$1,"347_URI/3474721.pdf"), "B-3474722")</f>
        <v>B-3474722</v>
      </c>
      <c r="T388" s="63">
        <v>3474721</v>
      </c>
      <c r="U388" s="5" t="s">
        <v>586</v>
      </c>
      <c r="W388" s="5"/>
      <c r="X388" s="17"/>
      <c r="Y388" s="8"/>
      <c r="AC388" s="18"/>
      <c r="AF388" s="8" t="str">
        <f>HYPERLINK(CONCATENATE(TabelleURL!$B$1,"340_Helfer/3404700.pdf"), "B-3404700")</f>
        <v>B-3404700</v>
      </c>
      <c r="AG388" s="2" t="str">
        <f>HYPERLINK(CONCATENATE(TabelleURL!$B$1,"340_Helfer/3404701.pdf"), "3404701")</f>
        <v>3404701</v>
      </c>
      <c r="AH388" s="4" t="str">
        <f>HYPERLINK(CONCATENATE(TabelleURL!$B$1,"346_CAN2com/3475821.pdf"), "3475821")</f>
        <v>3475821</v>
      </c>
      <c r="AL388" s="3" t="s">
        <v>7</v>
      </c>
      <c r="AN388" s="2" t="str">
        <f>HYPERLINK(CONCATENATE(TabelleURL!$B$1,"350_RICI_PDC_OBI/3500031 OBI Alfa BMW Fiat Merc Opel VW D_E.pdf"), "3500031")</f>
        <v>3500031</v>
      </c>
    </row>
    <row r="389" spans="1:47" ht="22.5">
      <c r="A389" s="1" t="s">
        <v>579</v>
      </c>
      <c r="B389" s="1" t="s">
        <v>620</v>
      </c>
      <c r="C389" s="1" t="s">
        <v>624</v>
      </c>
      <c r="D389" s="1" t="s">
        <v>625</v>
      </c>
      <c r="E389" s="76" t="s">
        <v>587</v>
      </c>
      <c r="G389" s="2" t="str">
        <f>HYPERLINK(CONCATENATE(TabelleURL!$B$1,"332_ADIF/332DB01.pdf"), "332DB01KA")</f>
        <v>332DB01KA</v>
      </c>
      <c r="I389" s="2" t="str">
        <f>HYPERLINK(CONCATENATE(TabelleURL!$B$1,"342_ADIF/342DB01ZI.pdf"), "342DB01/0/ZI")</f>
        <v>342DB01/0/ZI</v>
      </c>
      <c r="R389" s="66" t="s">
        <v>11</v>
      </c>
      <c r="S389" s="67" t="str">
        <f>HYPERLINK(CONCATENATE(TabelleURL!$B$1,"347_URI/3474721.pdf"), "B-3474724")</f>
        <v>B-3474724</v>
      </c>
      <c r="T389" s="63">
        <v>3474721</v>
      </c>
      <c r="U389" s="5" t="s">
        <v>588</v>
      </c>
      <c r="W389" s="5"/>
      <c r="X389" s="17"/>
      <c r="Y389" s="8"/>
      <c r="AC389" s="18"/>
      <c r="AF389" s="8" t="str">
        <f>HYPERLINK(CONCATENATE(TabelleURL!$B$1,"340_Helfer/3404700.pdf"), "B-3404700")</f>
        <v>B-3404700</v>
      </c>
      <c r="AG389" s="2" t="str">
        <f>HYPERLINK(CONCATENATE(TabelleURL!$B$1,"340_Helfer/3404701.pdf"), "3404701")</f>
        <v>3404701</v>
      </c>
      <c r="AH389" s="4" t="str">
        <f>HYPERLINK(CONCATENATE(TabelleURL!$B$1,"346_CAN2com/3475821.pdf"), "3475821")</f>
        <v>3475821</v>
      </c>
      <c r="AL389" s="3" t="s">
        <v>7</v>
      </c>
      <c r="AN389" s="2" t="str">
        <f>HYPERLINK(CONCATENATE(TabelleURL!$B$1,"350_RICI_PDC_OBI/3500031 OBI Alfa BMW Fiat Merc Opel VW D_E.pdf"), "3500031")</f>
        <v>3500031</v>
      </c>
    </row>
    <row r="390" spans="1:47" ht="22.5">
      <c r="A390" s="1" t="s">
        <v>579</v>
      </c>
      <c r="B390" s="1" t="s">
        <v>620</v>
      </c>
      <c r="C390" s="1" t="s">
        <v>624</v>
      </c>
      <c r="D390" s="1" t="s">
        <v>625</v>
      </c>
      <c r="E390" s="76" t="s">
        <v>589</v>
      </c>
      <c r="G390" s="2" t="str">
        <f>HYPERLINK(CONCATENATE(TabelleURL!$B$1,"332_ADIF/332DB01.pdf"), "332DB01KA")</f>
        <v>332DB01KA</v>
      </c>
      <c r="I390" s="2" t="str">
        <f>HYPERLINK(CONCATENATE(TabelleURL!$B$1,"342_ADIF/342DB01ZI.pdf"), "342DB01/0/ZI")</f>
        <v>342DB01/0/ZI</v>
      </c>
      <c r="R390" s="66" t="s">
        <v>11</v>
      </c>
      <c r="S390" s="67" t="str">
        <f>HYPERLINK(CONCATENATE(TabelleURL!$B$1,"347_URI/3474721.pdf"), "B-3474723")</f>
        <v>B-3474723</v>
      </c>
      <c r="T390" s="63">
        <v>3474721</v>
      </c>
      <c r="U390" s="5" t="s">
        <v>590</v>
      </c>
      <c r="W390" s="5"/>
      <c r="X390" s="17"/>
      <c r="Y390" s="8"/>
      <c r="AC390" s="18"/>
      <c r="AF390" s="8" t="str">
        <f>HYPERLINK(CONCATENATE(TabelleURL!$B$1,"340_Helfer/3404700.pdf"), "B-3404700")</f>
        <v>B-3404700</v>
      </c>
      <c r="AG390" s="2" t="str">
        <f>HYPERLINK(CONCATENATE(TabelleURL!$B$1,"340_Helfer/3404701.pdf"), "3404701")</f>
        <v>3404701</v>
      </c>
      <c r="AH390" s="4" t="str">
        <f>HYPERLINK(CONCATENATE(TabelleURL!$B$1,"346_CAN2com/3475821.pdf"), "3475821")</f>
        <v>3475821</v>
      </c>
      <c r="AL390" s="3" t="s">
        <v>7</v>
      </c>
      <c r="AN390" s="2" t="str">
        <f>HYPERLINK(CONCATENATE(TabelleURL!$B$1,"350_RICI_PDC_OBI/3500031 OBI Alfa BMW Fiat Merc Opel VW D_E.pdf"), "3500031")</f>
        <v>3500031</v>
      </c>
    </row>
    <row r="391" spans="1:47">
      <c r="A391" s="1" t="s">
        <v>579</v>
      </c>
      <c r="B391" s="1" t="s">
        <v>626</v>
      </c>
      <c r="C391" s="1" t="s">
        <v>627</v>
      </c>
      <c r="D391" s="1" t="s">
        <v>86</v>
      </c>
      <c r="G391" s="2" t="str">
        <f>HYPERLINK(CONCATENATE(TabelleURL!$B$1,"332_ADIF/332DB05.pdf"), "332DB05KA")</f>
        <v>332DB05KA</v>
      </c>
      <c r="I391" s="2" t="str">
        <f>HYPERLINK(CONCATENATE(TabelleURL!$B$1,"332_ADIF/332DB05ZI.pdf"), "332DB05/0/ZI")</f>
        <v>332DB05/0/ZI</v>
      </c>
      <c r="M391" s="5" t="str">
        <f>HYPERLINK(CONCATENATE(TabelleURL!$B$1,"345_Signalbox/3450254.pdf"), "3450254")</f>
        <v>3450254</v>
      </c>
      <c r="R391" s="66" t="s">
        <v>11</v>
      </c>
      <c r="S391" s="67" t="str">
        <f>HYPERLINK(CONCATENATE(TabelleURL!$B$1,"344_URI2/3444723.pdf"), "B-3444723")</f>
        <v>B-3444723</v>
      </c>
      <c r="T391" s="63"/>
      <c r="U391" s="5"/>
      <c r="W391" s="5"/>
      <c r="X391" s="17"/>
      <c r="Y391" s="8"/>
      <c r="AC391" s="18"/>
      <c r="AF391" s="8" t="str">
        <f>HYPERLINK(CONCATENATE(TabelleURL!$B$1,"340_Helfer/3404700.pdf"), "B-3404700")</f>
        <v>B-3404700</v>
      </c>
      <c r="AG391" s="2" t="str">
        <f>HYPERLINK(CONCATENATE(TabelleURL!$B$1,"340_Helfer/3404701.pdf"), "3404701")</f>
        <v>3404701</v>
      </c>
      <c r="AI391" s="5" t="str">
        <f>HYPERLINK(CONCATENATE(TabelleURL!$B$1,"3499_Taxi/34990016.pdf"), "34990016")</f>
        <v>34990016</v>
      </c>
    </row>
    <row r="392" spans="1:47">
      <c r="A392" s="1" t="s">
        <v>579</v>
      </c>
      <c r="B392" s="1" t="s">
        <v>626</v>
      </c>
      <c r="C392" s="1" t="s">
        <v>628</v>
      </c>
      <c r="D392" s="1" t="s">
        <v>23</v>
      </c>
      <c r="G392" s="2" t="str">
        <f>HYPERLINK(CONCATENATE(TabelleURL!$B$1,"332_ADIF/332DB01.pdf"), "332DB01KA")</f>
        <v>332DB01KA</v>
      </c>
      <c r="I392" s="2" t="str">
        <f>HYPERLINK(CONCATENATE(TabelleURL!$B$1,"342_ADIF/342DB01ZI.pdf"), "342DB01/0/ZI")</f>
        <v>342DB01/0/ZI</v>
      </c>
      <c r="T392" s="63"/>
      <c r="U392" s="5"/>
      <c r="W392" s="5"/>
      <c r="X392" s="17"/>
      <c r="Y392" s="8"/>
      <c r="AC392" s="18"/>
      <c r="AF392" s="8" t="str">
        <f>HYPERLINK(CONCATENATE(TabelleURL!$B$1,"340_Helfer/3404700.pdf"), "B-3404700")</f>
        <v>B-3404700</v>
      </c>
      <c r="AG392" s="2" t="str">
        <f>HYPERLINK(CONCATENATE(TabelleURL!$B$1,"340_Helfer/3404701.pdf"), "3404701")</f>
        <v>3404701</v>
      </c>
      <c r="AH392" s="4" t="str">
        <f>HYPERLINK(CONCATENATE(TabelleURL!$B$1,"346_CAN2com/3475821.pdf"), "3475821")</f>
        <v>3475821</v>
      </c>
      <c r="AI392" s="5" t="str">
        <f>HYPERLINK(CONCATENATE(TabelleURL!$B$1,"3499_Taxi/34990013.pdf"), "34990013")</f>
        <v>34990013</v>
      </c>
      <c r="AL392" s="3" t="s">
        <v>7</v>
      </c>
      <c r="AN392" s="2" t="str">
        <f>HYPERLINK(CONCATENATE(TabelleURL!$B$1,"350_RICI_PDC_OBI/3500031 OBI Alfa BMW Fiat Merc Opel VW D_E.pdf"), "3500031")</f>
        <v>3500031</v>
      </c>
    </row>
    <row r="393" spans="1:47">
      <c r="A393" s="1" t="s">
        <v>579</v>
      </c>
      <c r="B393" s="1" t="s">
        <v>629</v>
      </c>
      <c r="C393" s="1" t="s">
        <v>630</v>
      </c>
      <c r="D393" s="1" t="s">
        <v>631</v>
      </c>
      <c r="G393" s="2" t="str">
        <f>HYPERLINK(CONCATENATE(TabelleURL!$B$1,"342_ADIF/342DB01PD.pdf"), "342DB01/0/PD")</f>
        <v>342DB01/0/PD</v>
      </c>
      <c r="R393" s="66" t="s">
        <v>11</v>
      </c>
      <c r="T393" s="63"/>
      <c r="U393" s="5"/>
      <c r="W393" s="5"/>
      <c r="X393" s="17"/>
      <c r="Y393" s="8"/>
      <c r="AC393" s="18"/>
      <c r="AF393" s="8" t="str">
        <f>HYPERLINK(CONCATENATE(TabelleURL!$B$1,"340_Helfer/3404700.pdf"), "B-3404700")</f>
        <v>B-3404700</v>
      </c>
      <c r="AL393" s="3" t="s">
        <v>7</v>
      </c>
      <c r="AN393" s="2" t="str">
        <f>HYPERLINK(CONCATENATE(TabelleURL!$B$1,"350_RICI_PDC_OBI/3500031 OBI Alfa BMW Fiat Merc Opel VW D_E.pdf"), "3500031")</f>
        <v>3500031</v>
      </c>
    </row>
    <row r="394" spans="1:47">
      <c r="A394" s="1" t="s">
        <v>579</v>
      </c>
      <c r="B394" s="1" t="s">
        <v>629</v>
      </c>
      <c r="C394" s="1" t="s">
        <v>632</v>
      </c>
      <c r="D394" s="1" t="s">
        <v>519</v>
      </c>
      <c r="E394" s="76" t="s">
        <v>585</v>
      </c>
      <c r="G394" s="2" t="str">
        <f>HYPERLINK(CONCATENATE(TabelleURL!$B$1,"332_ADIF/332DB01.pdf"), "332DB01KA")</f>
        <v>332DB01KA</v>
      </c>
      <c r="I394" s="2" t="str">
        <f>HYPERLINK(CONCATENATE(TabelleURL!$B$1,"342_ADIF/342DB01ZI.pdf"), "342DB01/0/ZI")</f>
        <v>342DB01/0/ZI</v>
      </c>
      <c r="M394" s="5" t="str">
        <f>HYPERLINK(CONCATENATE(TabelleURL!$B$1,"345_Signalbox/3450253.pdf"), "3450253")</f>
        <v>3450253</v>
      </c>
      <c r="R394" s="66" t="s">
        <v>11</v>
      </c>
      <c r="S394" s="67" t="str">
        <f>HYPERLINK(CONCATENATE(TabelleURL!$B$1,"347_URI/3474721.pdf"), "B-3474722")</f>
        <v>B-3474722</v>
      </c>
      <c r="T394" s="63">
        <v>3474721</v>
      </c>
      <c r="U394" s="5" t="s">
        <v>586</v>
      </c>
      <c r="W394" s="5"/>
      <c r="X394" s="17"/>
      <c r="Y394" s="8"/>
      <c r="AC394" s="18"/>
      <c r="AF394" s="8" t="str">
        <f>HYPERLINK(CONCATENATE(TabelleURL!$B$1,"340_Helfer/3404700.pdf"), "B-3404700")</f>
        <v>B-3404700</v>
      </c>
      <c r="AG394" s="2" t="str">
        <f>HYPERLINK(CONCATENATE(TabelleURL!$B$1,"340_Helfer/3404701.pdf"), "3404701")</f>
        <v>3404701</v>
      </c>
      <c r="AH394" s="4" t="str">
        <f>HYPERLINK(CONCATENATE(TabelleURL!$B$1,"346_CAN2com/3475821.pdf"), "3475821")</f>
        <v>3475821</v>
      </c>
      <c r="AI394" s="5" t="str">
        <f>HYPERLINK(CONCATENATE(TabelleURL!$B$1,"3499_Taxi/34990010.pdf"), "34990010")</f>
        <v>34990010</v>
      </c>
      <c r="AL394" s="3" t="s">
        <v>7</v>
      </c>
      <c r="AN394" s="2" t="str">
        <f>HYPERLINK(CONCATENATE(TabelleURL!$B$1,"350_RICI_PDC_OBI/3500031 OBI Alfa BMW Fiat Merc Opel VW D_E.pdf"), "3500031")</f>
        <v>3500031</v>
      </c>
    </row>
    <row r="395" spans="1:47" ht="22.5">
      <c r="A395" s="1" t="s">
        <v>579</v>
      </c>
      <c r="B395" s="1" t="s">
        <v>629</v>
      </c>
      <c r="C395" s="1" t="s">
        <v>632</v>
      </c>
      <c r="D395" s="1" t="s">
        <v>519</v>
      </c>
      <c r="E395" s="76" t="s">
        <v>587</v>
      </c>
      <c r="G395" s="2" t="str">
        <f>HYPERLINK(CONCATENATE(TabelleURL!$B$1,"332_ADIF/332DB01.pdf"), "332DB01KA")</f>
        <v>332DB01KA</v>
      </c>
      <c r="I395" s="2" t="str">
        <f>HYPERLINK(CONCATENATE(TabelleURL!$B$1,"342_ADIF/342DB01ZI.pdf"), "342DB01/0/ZI")</f>
        <v>342DB01/0/ZI</v>
      </c>
      <c r="M395" s="5" t="str">
        <f>HYPERLINK(CONCATENATE(TabelleURL!$B$1,"345_Signalbox/3450253.pdf"), "3450253")</f>
        <v>3450253</v>
      </c>
      <c r="R395" s="66" t="s">
        <v>11</v>
      </c>
      <c r="S395" s="67" t="str">
        <f>HYPERLINK(CONCATENATE(TabelleURL!$B$1,"347_URI/3474721.pdf"), "B-3474724")</f>
        <v>B-3474724</v>
      </c>
      <c r="T395" s="63">
        <v>3474721</v>
      </c>
      <c r="U395" s="5" t="s">
        <v>588</v>
      </c>
      <c r="W395" s="5"/>
      <c r="X395" s="17"/>
      <c r="Y395" s="8"/>
      <c r="AC395" s="18"/>
      <c r="AF395" s="8" t="str">
        <f>HYPERLINK(CONCATENATE(TabelleURL!$B$1,"340_Helfer/3404700.pdf"), "B-3404700")</f>
        <v>B-3404700</v>
      </c>
      <c r="AG395" s="2" t="str">
        <f>HYPERLINK(CONCATENATE(TabelleURL!$B$1,"340_Helfer/3404701.pdf"), "3404701")</f>
        <v>3404701</v>
      </c>
      <c r="AH395" s="4" t="str">
        <f>HYPERLINK(CONCATENATE(TabelleURL!$B$1,"346_CAN2com/3475821.pdf"), "3475821")</f>
        <v>3475821</v>
      </c>
      <c r="AI395" s="5" t="str">
        <f>HYPERLINK(CONCATENATE(TabelleURL!$B$1,"3499_Taxi/34990010.pdf"), "34990010")</f>
        <v>34990010</v>
      </c>
      <c r="AL395" s="3" t="s">
        <v>7</v>
      </c>
      <c r="AN395" s="2" t="str">
        <f>HYPERLINK(CONCATENATE(TabelleURL!$B$1,"350_RICI_PDC_OBI/3500031 OBI Alfa BMW Fiat Merc Opel VW D_E.pdf"), "3500031")</f>
        <v>3500031</v>
      </c>
    </row>
    <row r="396" spans="1:47" ht="22.5">
      <c r="A396" s="1" t="s">
        <v>579</v>
      </c>
      <c r="B396" s="1" t="s">
        <v>629</v>
      </c>
      <c r="C396" s="1" t="s">
        <v>632</v>
      </c>
      <c r="D396" s="1" t="s">
        <v>519</v>
      </c>
      <c r="E396" s="76" t="s">
        <v>589</v>
      </c>
      <c r="G396" s="2" t="str">
        <f>HYPERLINK(CONCATENATE(TabelleURL!$B$1,"332_ADIF/332DB01.pdf"), "332DB01KA")</f>
        <v>332DB01KA</v>
      </c>
      <c r="I396" s="2" t="str">
        <f>HYPERLINK(CONCATENATE(TabelleURL!$B$1,"342_ADIF/342DB01ZI.pdf"), "342DB01/0/ZI")</f>
        <v>342DB01/0/ZI</v>
      </c>
      <c r="M396" s="5" t="str">
        <f>HYPERLINK(CONCATENATE(TabelleURL!$B$1,"345_Signalbox/3450253.pdf"), "3450253")</f>
        <v>3450253</v>
      </c>
      <c r="R396" s="66" t="s">
        <v>11</v>
      </c>
      <c r="S396" s="67" t="str">
        <f>HYPERLINK(CONCATENATE(TabelleURL!$B$1,"347_URI/3474721.pdf"), "B-3474723")</f>
        <v>B-3474723</v>
      </c>
      <c r="T396" s="63">
        <v>3474721</v>
      </c>
      <c r="U396" s="5" t="s">
        <v>590</v>
      </c>
      <c r="W396" s="5"/>
      <c r="X396" s="17"/>
      <c r="Y396" s="8"/>
      <c r="AC396" s="18"/>
      <c r="AF396" s="8" t="str">
        <f>HYPERLINK(CONCATENATE(TabelleURL!$B$1,"340_Helfer/3404700.pdf"), "B-3404700")</f>
        <v>B-3404700</v>
      </c>
      <c r="AG396" s="2" t="str">
        <f>HYPERLINK(CONCATENATE(TabelleURL!$B$1,"340_Helfer/3404701.pdf"), "3404701")</f>
        <v>3404701</v>
      </c>
      <c r="AH396" s="4" t="str">
        <f>HYPERLINK(CONCATENATE(TabelleURL!$B$1,"346_CAN2com/3475821.pdf"), "3475821")</f>
        <v>3475821</v>
      </c>
      <c r="AI396" s="5" t="str">
        <f>HYPERLINK(CONCATENATE(TabelleURL!$B$1,"3499_Taxi/34990010.pdf"), "34990010")</f>
        <v>34990010</v>
      </c>
      <c r="AL396" s="3" t="s">
        <v>7</v>
      </c>
      <c r="AN396" s="2" t="str">
        <f>HYPERLINK(CONCATENATE(TabelleURL!$B$1,"350_RICI_PDC_OBI/3500031 OBI Alfa BMW Fiat Merc Opel VW D_E.pdf"), "3500031")</f>
        <v>3500031</v>
      </c>
    </row>
    <row r="397" spans="1:47">
      <c r="A397" s="1" t="s">
        <v>579</v>
      </c>
      <c r="B397" s="1" t="s">
        <v>629</v>
      </c>
      <c r="C397" s="1" t="s">
        <v>633</v>
      </c>
      <c r="D397" s="1" t="s">
        <v>260</v>
      </c>
      <c r="G397" s="2" t="str">
        <f>HYPERLINK(CONCATENATE(TabelleURL!$B$1,"332_ADIF/332DB05.pdf"), "332DB05KA")</f>
        <v>332DB05KA</v>
      </c>
      <c r="I397" s="2" t="str">
        <f>HYPERLINK(CONCATENATE(TabelleURL!$B$1,"332_ADIF/332DB05ZI.pdf"), "332DB05/0/ZI")</f>
        <v>332DB05/0/ZI</v>
      </c>
      <c r="M397" s="5" t="str">
        <f>HYPERLINK(CONCATENATE(TabelleURL!$B$1,"345_Signalbox/3450254.pdf"), "3450254")</f>
        <v>3450254</v>
      </c>
      <c r="R397" s="66" t="s">
        <v>11</v>
      </c>
      <c r="S397" s="67" t="str">
        <f>HYPERLINK(CONCATENATE(TabelleURL!$B$1,"344_URI2/3444723.pdf"), "B-3444723")</f>
        <v>B-3444723</v>
      </c>
      <c r="T397" s="63"/>
      <c r="U397" s="5"/>
      <c r="W397" s="5"/>
      <c r="X397" s="17"/>
      <c r="Y397" s="8"/>
      <c r="AC397" s="18"/>
      <c r="AF397" s="8" t="str">
        <f>HYPERLINK(CONCATENATE(TabelleURL!$B$1,"340_Helfer/3404700.pdf"), "B-3404700")</f>
        <v>B-3404700</v>
      </c>
      <c r="AG397" s="2" t="str">
        <f>HYPERLINK(CONCATENATE(TabelleURL!$B$1,"340_Helfer/3404701.pdf"), "3404701")</f>
        <v>3404701</v>
      </c>
      <c r="AH397" s="4" t="str">
        <f>HYPERLINK(CONCATENATE(TabelleURL!$B$1,"346_CAN2com/3475821.pdf"), "3475821")</f>
        <v>3475821</v>
      </c>
      <c r="AI397" s="5" t="str">
        <f>HYPERLINK(CONCATENATE(TabelleURL!$B$1,"3499_Taxi/34990016.pdf"), "34990016")</f>
        <v>34990016</v>
      </c>
      <c r="AQ397" s="7" t="s">
        <v>612</v>
      </c>
      <c r="AT397" s="2" t="str">
        <f>HYPERLINK(CONCATENATE(TabelleURL!$B$1,"340_Helfer/3406821.pdf"), "B-3406821")</f>
        <v>B-3406821</v>
      </c>
      <c r="AU397" s="7">
        <v>3450001</v>
      </c>
    </row>
    <row r="398" spans="1:47">
      <c r="A398" s="1" t="s">
        <v>579</v>
      </c>
      <c r="B398" s="1" t="s">
        <v>629</v>
      </c>
      <c r="C398" s="1" t="s">
        <v>633</v>
      </c>
      <c r="D398" s="1" t="s">
        <v>634</v>
      </c>
      <c r="E398" s="76" t="s">
        <v>635</v>
      </c>
      <c r="G398" s="2" t="str">
        <f>HYPERLINK(CONCATENATE(TabelleURL!$B$1,"332_ADIF/332DB05.pdf"), "332DB05KA")</f>
        <v>332DB05KA</v>
      </c>
      <c r="I398" s="2" t="str">
        <f>HYPERLINK(CONCATENATE(TabelleURL!$B$1,"332_ADIF/332DB05ZI.pdf"), "332DB05/0/ZI")</f>
        <v>332DB05/0/ZI</v>
      </c>
      <c r="M398" s="5" t="str">
        <f>HYPERLINK(CONCATENATE(TabelleURL!$B$1,"345_Signalbox/3450254.pdf"), "3450254")</f>
        <v>3450254</v>
      </c>
      <c r="R398" s="66" t="s">
        <v>11</v>
      </c>
      <c r="S398" s="67" t="str">
        <f>HYPERLINK(CONCATENATE(TabelleURL!$B$1,"344_URI2/3444723.pdf"), "B-3444723")</f>
        <v>B-3444723</v>
      </c>
      <c r="T398" s="63"/>
      <c r="U398" s="5"/>
      <c r="W398" s="5"/>
      <c r="X398" s="17"/>
      <c r="Y398" s="8"/>
      <c r="AC398" s="18"/>
      <c r="AF398" s="8" t="str">
        <f>HYPERLINK(CONCATENATE(TabelleURL!$B$1,"340_Helfer/3404700.pdf"), "B-3404700")</f>
        <v>B-3404700</v>
      </c>
      <c r="AG398" s="2" t="str">
        <f>HYPERLINK(CONCATENATE(TabelleURL!$B$1,"340_Helfer/3404701.pdf"), "3404701")</f>
        <v>3404701</v>
      </c>
      <c r="AH398" s="4" t="str">
        <f>HYPERLINK(CONCATENATE(TabelleURL!$B$1,"346_CAN2com/3475821.pdf"), "3475821")</f>
        <v>3475821</v>
      </c>
      <c r="AI398" s="5" t="str">
        <f>HYPERLINK(CONCATENATE(TabelleURL!$B$1,"3499_Taxi/34990016.pdf"), "34990016")</f>
        <v>34990016</v>
      </c>
      <c r="AT398" s="2" t="str">
        <f>HYPERLINK(CONCATENATE(TabelleURL!$B$1,"340_Helfer/3406821.pdf"), "B-3406821")</f>
        <v>B-3406821</v>
      </c>
    </row>
    <row r="399" spans="1:47">
      <c r="A399" s="1" t="s">
        <v>579</v>
      </c>
      <c r="B399" s="1" t="s">
        <v>629</v>
      </c>
      <c r="C399" s="1" t="s">
        <v>636</v>
      </c>
      <c r="D399" s="1" t="s">
        <v>25</v>
      </c>
      <c r="G399" s="2" t="str">
        <f>HYPERLINK(CONCATENATE(TabelleURL!$B$1,"332_ADIF/332DB06.pdf"), "332DB06KA")</f>
        <v>332DB06KA</v>
      </c>
      <c r="I399" s="2" t="str">
        <f>HYPERLINK(CONCATENATE(TabelleURL!$B$1,"332_ADIF/332DB06ZI.pdf"), "332DB06ZI")</f>
        <v>332DB06ZI</v>
      </c>
      <c r="M399" s="5" t="str">
        <f>HYPERLINK(CONCATENATE(TabelleURL!$B$1,"345_Signalbox/3450292.pdf"), "3450292")</f>
        <v>3450292</v>
      </c>
      <c r="P399" s="5" t="str">
        <f>HYPERLINK(CONCATENATE(TabelleURL!$B$1,"345_Signalbox/3450292-W.pdf"), "3450292-W")</f>
        <v>3450292-W</v>
      </c>
      <c r="T399" s="63"/>
      <c r="U399" s="5"/>
      <c r="W399" s="5"/>
      <c r="X399" s="17"/>
      <c r="Y399" s="8"/>
      <c r="AC399" s="18"/>
      <c r="AG399" s="2"/>
      <c r="AI399" s="5" t="str">
        <f>HYPERLINK(CONCATENATE(TabelleURL!$B$1,"3499_Taxi/34990014.pdf"), "34990014")</f>
        <v>34990014</v>
      </c>
    </row>
    <row r="400" spans="1:47">
      <c r="A400" s="1" t="s">
        <v>579</v>
      </c>
      <c r="B400" s="1" t="s">
        <v>637</v>
      </c>
      <c r="C400" s="1" t="s">
        <v>638</v>
      </c>
      <c r="D400" s="1" t="s">
        <v>27</v>
      </c>
      <c r="G400" s="2" t="str">
        <f>HYPERLINK(CONCATENATE(TabelleURL!$B$1,"332_ADIF/332DB05.pdf"), "332DB05KA")</f>
        <v>332DB05KA</v>
      </c>
      <c r="I400" s="2" t="str">
        <f>HYPERLINK(CONCATENATE(TabelleURL!$B$1,"332_ADIF/332DB05ZI.pdf"), "332DB05/0/ZI")</f>
        <v>332DB05/0/ZI</v>
      </c>
      <c r="R400" s="66" t="s">
        <v>11</v>
      </c>
      <c r="S400" s="67" t="str">
        <f>HYPERLINK(CONCATENATE(TabelleURL!$B$1,"344_URI2/3444723.pdf"), "B-3444723")</f>
        <v>B-3444723</v>
      </c>
      <c r="T400" s="63"/>
      <c r="U400" s="5"/>
      <c r="W400" s="5"/>
      <c r="X400" s="17"/>
      <c r="Y400" s="8"/>
      <c r="AC400" s="18"/>
      <c r="AF400" s="8" t="str">
        <f>HYPERLINK(CONCATENATE(TabelleURL!$B$1,"340_Helfer/3404700.pdf"), "B-3404700")</f>
        <v>B-3404700</v>
      </c>
      <c r="AG400" s="2" t="str">
        <f>HYPERLINK(CONCATENATE(TabelleURL!$B$1,"340_Helfer/3404701.pdf"), "3404701")</f>
        <v>3404701</v>
      </c>
      <c r="AH400" s="4" t="str">
        <f>HYPERLINK(CONCATENATE(TabelleURL!$B$1,"346_CAN2com/3475821.pdf"), "3475821")</f>
        <v>3475821</v>
      </c>
      <c r="AT400" s="2" t="str">
        <f>HYPERLINK(CONCATENATE(TabelleURL!$B$1,"340_Helfer/3406821.pdf"), "B-3406821")</f>
        <v>B-3406821</v>
      </c>
    </row>
    <row r="401" spans="1:47">
      <c r="A401" s="1" t="s">
        <v>579</v>
      </c>
      <c r="B401" s="1" t="s">
        <v>637</v>
      </c>
      <c r="C401" s="1" t="s">
        <v>638</v>
      </c>
      <c r="D401" s="1" t="s">
        <v>27</v>
      </c>
      <c r="G401" s="2" t="str">
        <f>HYPERLINK(CONCATENATE(TabelleURL!$B$1,"332_ADIF/332DB05.pdf"), "332DB05KA")</f>
        <v>332DB05KA</v>
      </c>
      <c r="I401" s="2" t="str">
        <f>HYPERLINK(CONCATENATE(TabelleURL!$B$1,"332_ADIF/332DB05ZI.pdf"), "332DB05/0/ZI")</f>
        <v>332DB05/0/ZI</v>
      </c>
      <c r="T401" s="63"/>
      <c r="U401" s="5"/>
      <c r="W401" s="5"/>
      <c r="X401" s="17"/>
      <c r="Y401" s="8"/>
      <c r="AC401" s="18"/>
      <c r="AF401" s="8" t="str">
        <f>HYPERLINK(CONCATENATE(TabelleURL!$B$1,"340_Helfer/3404700.pdf"), "B-3404700")</f>
        <v>B-3404700</v>
      </c>
      <c r="AG401" s="2" t="str">
        <f>HYPERLINK(CONCATENATE(TabelleURL!$B$1,"340_Helfer/3404701.pdf"), "3404701")</f>
        <v>3404701</v>
      </c>
      <c r="AH401" s="4" t="str">
        <f>HYPERLINK(CONCATENATE(TabelleURL!$B$1,"346_CAN2com/3475821.pdf"), "3475821")</f>
        <v>3475821</v>
      </c>
      <c r="AT401" s="2" t="str">
        <f>HYPERLINK(CONCATENATE(TabelleURL!$B$1,"340_Helfer/3406821.pdf"), "B-3406821")</f>
        <v>B-3406821</v>
      </c>
    </row>
    <row r="402" spans="1:47" ht="22.5">
      <c r="A402" s="1" t="s">
        <v>579</v>
      </c>
      <c r="B402" s="1" t="s">
        <v>637</v>
      </c>
      <c r="C402" s="1" t="s">
        <v>638</v>
      </c>
      <c r="D402" s="1" t="s">
        <v>27</v>
      </c>
      <c r="E402" s="76" t="s">
        <v>589</v>
      </c>
      <c r="G402" s="2" t="str">
        <f>HYPERLINK(CONCATENATE(TabelleURL!$B$1,"332_ADIF/332DB05.pdf"), "332DB05KA")</f>
        <v>332DB05KA</v>
      </c>
      <c r="I402" s="2" t="str">
        <f>HYPERLINK(CONCATENATE(TabelleURL!$B$1,"332_ADIF/332DB05ZI.pdf"), "332DB05/0/ZI")</f>
        <v>332DB05/0/ZI</v>
      </c>
      <c r="T402" s="63"/>
      <c r="U402" s="5"/>
      <c r="W402" s="5"/>
      <c r="X402" s="17"/>
      <c r="Y402" s="8"/>
      <c r="AC402" s="18"/>
      <c r="AF402" s="8" t="str">
        <f>HYPERLINK(CONCATENATE(TabelleURL!$B$1,"340_Helfer/3404700.pdf"), "B-3404700")</f>
        <v>B-3404700</v>
      </c>
      <c r="AG402" s="2" t="str">
        <f>HYPERLINK(CONCATENATE(TabelleURL!$B$1,"340_Helfer/3404701.pdf"), "3404701")</f>
        <v>3404701</v>
      </c>
      <c r="AH402" s="4" t="str">
        <f>HYPERLINK(CONCATENATE(TabelleURL!$B$1,"346_CAN2com/3475821.pdf"), "3475821")</f>
        <v>3475821</v>
      </c>
      <c r="AT402" s="2" t="str">
        <f>HYPERLINK(CONCATENATE(TabelleURL!$B$1,"340_Helfer/3406821.pdf"), "B-3406821")</f>
        <v>B-3406821</v>
      </c>
    </row>
    <row r="403" spans="1:47">
      <c r="A403" s="1" t="s">
        <v>579</v>
      </c>
      <c r="B403" s="1" t="s">
        <v>639</v>
      </c>
      <c r="C403" s="1" t="s">
        <v>640</v>
      </c>
      <c r="D403" s="1" t="s">
        <v>213</v>
      </c>
      <c r="G403" s="2" t="str">
        <f>HYPERLINK(CONCATENATE(TabelleURL!$B$1,"332_ADIF/332DB05.pdf"), "332DB05KA")</f>
        <v>332DB05KA</v>
      </c>
      <c r="I403" s="2" t="str">
        <f>HYPERLINK(CONCATENATE(TabelleURL!$B$1,"332_ADIF/332DB05ZI.pdf"), "332DB05/0/ZI")</f>
        <v>332DB05/0/ZI</v>
      </c>
      <c r="T403" s="63"/>
      <c r="U403" s="5"/>
      <c r="W403" s="5"/>
      <c r="X403" s="17"/>
      <c r="Y403" s="8"/>
      <c r="AC403" s="18"/>
      <c r="AF403" s="8" t="str">
        <f>HYPERLINK(CONCATENATE(TabelleURL!$B$1,"340_Helfer/3404700.pdf"), "B-3404700")</f>
        <v>B-3404700</v>
      </c>
      <c r="AG403" s="2" t="str">
        <f>HYPERLINK(CONCATENATE(TabelleURL!$B$1,"340_Helfer/3404701.pdf"), "3404701")</f>
        <v>3404701</v>
      </c>
      <c r="AH403" s="4" t="str">
        <f>HYPERLINK(CONCATENATE(TabelleURL!$B$1,"346_CAN2com/3475821.pdf"), "3475821")</f>
        <v>3475821</v>
      </c>
      <c r="AT403" s="2" t="str">
        <f>HYPERLINK(CONCATENATE(TabelleURL!$B$1,"340_Helfer/3406821.pdf"), "B-3406821")</f>
        <v>B-3406821</v>
      </c>
    </row>
    <row r="404" spans="1:47" s="22" customFormat="1">
      <c r="A404" s="19" t="s">
        <v>579</v>
      </c>
      <c r="B404" s="19" t="s">
        <v>641</v>
      </c>
      <c r="C404" s="19" t="s">
        <v>642</v>
      </c>
      <c r="D404" s="19" t="s">
        <v>25</v>
      </c>
      <c r="E404" s="77"/>
      <c r="F404" s="71"/>
      <c r="G404" s="2" t="str">
        <f>HYPERLINK(CONCATENATE(TabelleURL!$B$1,"332_ADIF/332DB05.pdf"), "332DB05KA")</f>
        <v>332DB05KA</v>
      </c>
      <c r="H404" s="2"/>
      <c r="I404" s="2" t="str">
        <f>HYPERLINK(CONCATENATE(TabelleURL!$B$1,"332_ADIF/332DB05ZI.pdf"), "332DB05/0/ZI")</f>
        <v>332DB05/0/ZI</v>
      </c>
      <c r="J404" s="2"/>
      <c r="K404" s="4"/>
      <c r="L404" s="4"/>
      <c r="M404" s="5"/>
      <c r="N404" s="5"/>
      <c r="O404" s="5"/>
      <c r="P404" s="5"/>
      <c r="Q404" s="61"/>
      <c r="R404" s="66" t="s">
        <v>11</v>
      </c>
      <c r="S404" s="67" t="str">
        <f>HYPERLINK(CONCATENATE(TabelleURL!$B$1,"344_URI2/3444723.pdf"), "B-3444723")</f>
        <v>B-3444723</v>
      </c>
      <c r="T404" s="63"/>
      <c r="U404" s="5"/>
      <c r="V404" s="4"/>
      <c r="W404" s="5"/>
      <c r="X404" s="17"/>
      <c r="Y404" s="8"/>
      <c r="Z404" s="2"/>
      <c r="AA404" s="4"/>
      <c r="AB404" s="2"/>
      <c r="AC404" s="17"/>
      <c r="AD404" s="8"/>
      <c r="AE404" s="2"/>
      <c r="AF404" s="8"/>
      <c r="AG404" s="2"/>
      <c r="AH404" s="4"/>
      <c r="AI404" s="5"/>
      <c r="AJ404" s="8"/>
      <c r="AK404" s="5"/>
      <c r="AL404" s="4"/>
      <c r="AM404" s="8"/>
      <c r="AN404" s="2"/>
      <c r="AO404" s="8"/>
      <c r="AP404" s="9"/>
      <c r="AQ404" s="8"/>
      <c r="AR404" s="4"/>
      <c r="AS404" s="21"/>
      <c r="AT404" s="2"/>
      <c r="AU404" s="8"/>
    </row>
    <row r="405" spans="1:47">
      <c r="A405" s="1" t="s">
        <v>579</v>
      </c>
      <c r="B405" s="1" t="s">
        <v>643</v>
      </c>
      <c r="C405" s="1" t="s">
        <v>644</v>
      </c>
      <c r="D405" s="1" t="s">
        <v>436</v>
      </c>
      <c r="G405" s="2" t="str">
        <f>HYPERLINK(CONCATENATE(TabelleURL!$B$1,"332_ADIF/332DB01.pdf"), "332DB01KA")</f>
        <v>332DB01KA</v>
      </c>
      <c r="I405" s="2" t="str">
        <f>HYPERLINK(CONCATENATE(TabelleURL!$B$1,"342_ADIF/342DB01ZI.pdf"), "342DB01/0/ZI")</f>
        <v>342DB01/0/ZI</v>
      </c>
      <c r="M405" s="5" t="str">
        <f>HYPERLINK(CONCATENATE(TabelleURL!$B$1,"345_Signalbox/3450253.pdf"), "3450253")</f>
        <v>3450253</v>
      </c>
      <c r="T405" s="63"/>
      <c r="U405" s="5"/>
      <c r="W405" s="5"/>
      <c r="X405" s="17"/>
      <c r="Y405" s="8"/>
      <c r="AC405" s="18"/>
      <c r="AF405" s="8" t="str">
        <f>HYPERLINK(CONCATENATE(TabelleURL!$B$1,"340_Helfer/3404700.pdf"), "B-3404700")</f>
        <v>B-3404700</v>
      </c>
      <c r="AG405" s="2" t="str">
        <f>HYPERLINK(CONCATENATE(TabelleURL!$B$1,"340_Helfer/3404701.pdf"), "3404701")</f>
        <v>3404701</v>
      </c>
      <c r="AH405" s="4" t="str">
        <f>HYPERLINK(CONCATENATE(TabelleURL!$B$1,"346_CAN2com/3475821.pdf"), "3475821")</f>
        <v>3475821</v>
      </c>
    </row>
    <row r="406" spans="1:47">
      <c r="A406" s="1" t="s">
        <v>579</v>
      </c>
      <c r="B406" s="1" t="s">
        <v>643</v>
      </c>
      <c r="C406" s="1" t="s">
        <v>645</v>
      </c>
      <c r="D406" s="1" t="s">
        <v>61</v>
      </c>
      <c r="G406" s="2" t="str">
        <f>HYPERLINK(CONCATENATE(TabelleURL!$B$1,"332_ADIF/332DB05.pdf"), "332DB05KA")</f>
        <v>332DB05KA</v>
      </c>
      <c r="I406" s="2" t="str">
        <f>HYPERLINK(CONCATENATE(TabelleURL!$B$1,"332_ADIF/332DB05ZI.pdf"), "332DB05/0/ZI")</f>
        <v>332DB05/0/ZI</v>
      </c>
      <c r="M406" s="5" t="str">
        <f>HYPERLINK(CONCATENATE(TabelleURL!$B$1,"345_Signalbox/3450254.pdf"), "3450254")</f>
        <v>3450254</v>
      </c>
      <c r="T406" s="63"/>
      <c r="U406" s="5"/>
      <c r="W406" s="5"/>
      <c r="X406" s="17"/>
      <c r="Y406" s="8"/>
      <c r="AC406" s="18"/>
      <c r="AF406" s="8" t="str">
        <f>HYPERLINK(CONCATENATE(TabelleURL!$B$1,"340_Helfer/3404700.pdf"), "B-3404700")</f>
        <v>B-3404700</v>
      </c>
      <c r="AG406" s="2" t="str">
        <f>HYPERLINK(CONCATENATE(TabelleURL!$B$1,"340_Helfer/3404701.pdf"), "3404701")</f>
        <v>3404701</v>
      </c>
      <c r="AH406" s="4" t="str">
        <f>HYPERLINK(CONCATENATE(TabelleURL!$B$1,"346_CAN2com/3475821.pdf"), "3475821")</f>
        <v>3475821</v>
      </c>
      <c r="AT406" s="2" t="str">
        <f>HYPERLINK(CONCATENATE(TabelleURL!$B$1,"340_Helfer/3406821.pdf"), "B-3406821")</f>
        <v>B-3406821</v>
      </c>
    </row>
    <row r="407" spans="1:47">
      <c r="A407" s="1" t="s">
        <v>579</v>
      </c>
      <c r="B407" s="1" t="s">
        <v>646</v>
      </c>
      <c r="C407" s="1" t="s">
        <v>647</v>
      </c>
      <c r="D407" s="1" t="s">
        <v>19</v>
      </c>
      <c r="G407" s="2" t="str">
        <f>HYPERLINK(CONCATENATE(TabelleURL!$B$1,"332_ADIF/332DB05.pdf"), "332DB05KA")</f>
        <v>332DB05KA</v>
      </c>
      <c r="I407" s="2" t="str">
        <f>HYPERLINK(CONCATENATE(TabelleURL!$B$1,"332_ADIF/332DB05ZI.pdf"), "332DB05/0/ZI")</f>
        <v>332DB05/0/ZI</v>
      </c>
      <c r="M407" s="5" t="str">
        <f>HYPERLINK(CONCATENATE(TabelleURL!$B$1,"345_Signalbox/3450254.pdf"), "3450254")</f>
        <v>3450254</v>
      </c>
      <c r="R407" s="66" t="s">
        <v>11</v>
      </c>
      <c r="S407" s="67" t="str">
        <f>HYPERLINK(CONCATENATE(TabelleURL!$B$1,"344_URI2/3444723.pdf"), "B-3444723")</f>
        <v>B-3444723</v>
      </c>
      <c r="T407" s="63"/>
      <c r="U407" s="5"/>
      <c r="W407" s="5"/>
      <c r="X407" s="17"/>
      <c r="Y407" s="8"/>
      <c r="AC407" s="18"/>
      <c r="AF407" s="8" t="str">
        <f>HYPERLINK(CONCATENATE(TabelleURL!$B$1,"340_Helfer/3404700.pdf"), "B-3404700")</f>
        <v>B-3404700</v>
      </c>
      <c r="AH407" s="4" t="str">
        <f>HYPERLINK(CONCATENATE(TabelleURL!$B$1,"346_CAN2com/3475821.pdf"), "3475821")</f>
        <v>3475821</v>
      </c>
      <c r="AI407" s="5" t="str">
        <f>HYPERLINK(CONCATENATE(TabelleURL!$B$1,"3499_Taxi/34990016.pdf"), "34990016")</f>
        <v>34990016</v>
      </c>
      <c r="AT407" s="2" t="str">
        <f>HYPERLINK(CONCATENATE(TabelleURL!$B$1,"340_Helfer/3406821.pdf"), "B-3406821")</f>
        <v>B-3406821</v>
      </c>
    </row>
    <row r="408" spans="1:47">
      <c r="A408" s="1" t="s">
        <v>579</v>
      </c>
      <c r="B408" s="1" t="s">
        <v>648</v>
      </c>
      <c r="C408" s="1" t="s">
        <v>649</v>
      </c>
      <c r="D408" s="1" t="s">
        <v>73</v>
      </c>
      <c r="G408" s="2" t="str">
        <f>HYPERLINK(CONCATENATE(TabelleURL!$B$1,"332_ADIF/332DB06.pdf"), "332DB06KA")</f>
        <v>332DB06KA</v>
      </c>
      <c r="M408" s="5" t="str">
        <f>HYPERLINK(CONCATENATE(TabelleURL!$B$1,"345_Signalbox/3450292.pdf"), "3450292")</f>
        <v>3450292</v>
      </c>
      <c r="P408" s="5" t="str">
        <f>HYPERLINK(CONCATENATE(TabelleURL!$B$1,"345_Signalbox/3450292-W.pdf"), "3450292-W")</f>
        <v>3450292-W</v>
      </c>
      <c r="T408" s="63"/>
      <c r="U408" s="5"/>
      <c r="W408" s="5"/>
      <c r="X408" s="17"/>
      <c r="Y408" s="8"/>
      <c r="AC408" s="18"/>
      <c r="AG408" s="2"/>
      <c r="AI408" s="5" t="str">
        <f>HYPERLINK(CONCATENATE(TabelleURL!$B$1,"3499_Taxi/34990014.pdf"), "34990014")</f>
        <v>34990014</v>
      </c>
    </row>
    <row r="409" spans="1:47">
      <c r="A409" s="1" t="s">
        <v>579</v>
      </c>
      <c r="B409" s="1" t="s">
        <v>650</v>
      </c>
      <c r="C409" s="1" t="s">
        <v>651</v>
      </c>
      <c r="D409" s="1" t="s">
        <v>73</v>
      </c>
      <c r="T409" s="63"/>
      <c r="U409" s="5"/>
      <c r="W409" s="5"/>
      <c r="X409" s="17"/>
      <c r="Y409" s="8"/>
      <c r="AC409" s="18"/>
      <c r="AG409" s="2"/>
    </row>
    <row r="410" spans="1:47">
      <c r="A410" s="1" t="s">
        <v>579</v>
      </c>
      <c r="B410" s="1" t="s">
        <v>652</v>
      </c>
      <c r="C410" s="1" t="s">
        <v>653</v>
      </c>
      <c r="D410" s="1" t="s">
        <v>29</v>
      </c>
      <c r="G410" s="2" t="str">
        <f>HYPERLINK(CONCATENATE(TabelleURL!$B$1,"332_ADIF/332DB05.pdf"), "332DB05KA")</f>
        <v>332DB05KA</v>
      </c>
      <c r="I410" s="2" t="str">
        <f>HYPERLINK(CONCATENATE(TabelleURL!$B$1,"332_ADIF/332DB05ZI.pdf"), "332DB05/0/ZI")</f>
        <v>332DB05/0/ZI</v>
      </c>
      <c r="M410" s="5" t="str">
        <f>HYPERLINK(CONCATENATE(TabelleURL!$B$1,"345_Signalbox/3450254.pdf"), "3450254")</f>
        <v>3450254</v>
      </c>
      <c r="T410" s="63"/>
      <c r="U410" s="5"/>
      <c r="W410" s="5"/>
      <c r="X410" s="17"/>
      <c r="Y410" s="8"/>
      <c r="AC410" s="18"/>
      <c r="AF410" s="8" t="str">
        <f>HYPERLINK(CONCATENATE(TabelleURL!$B$1,"340_Helfer/3404700.pdf"), "B-3404700")</f>
        <v>B-3404700</v>
      </c>
      <c r="AG410" s="2" t="str">
        <f>HYPERLINK(CONCATENATE(TabelleURL!$B$1,"340_Helfer/3404701.pdf"), "3404701")</f>
        <v>3404701</v>
      </c>
      <c r="AH410" s="4" t="str">
        <f>HYPERLINK(CONCATENATE(TabelleURL!$B$1,"346_CAN2com/3475821.pdf"), "3475821")</f>
        <v>3475821</v>
      </c>
      <c r="AI410" s="5" t="str">
        <f>HYPERLINK(CONCATENATE(TabelleURL!$B$1,"3499_Taxi/34990016.pdf"), "34990016")</f>
        <v>34990016</v>
      </c>
    </row>
    <row r="411" spans="1:47" ht="22.5">
      <c r="A411" s="1" t="s">
        <v>579</v>
      </c>
      <c r="B411" s="1" t="s">
        <v>654</v>
      </c>
      <c r="C411" s="1" t="s">
        <v>655</v>
      </c>
      <c r="D411" s="1" t="s">
        <v>601</v>
      </c>
      <c r="E411" s="76" t="s">
        <v>585</v>
      </c>
      <c r="F411" s="70" t="s">
        <v>656</v>
      </c>
      <c r="G411" s="2" t="str">
        <f>HYPERLINK(CONCATENATE(TabelleURL!$B$1,"332_ADIF/332DB01.pdf"), "332DB01KA")</f>
        <v>332DB01KA</v>
      </c>
      <c r="I411" s="2" t="str">
        <f>HYPERLINK(CONCATENATE(TabelleURL!$B$1,"342_ADIF/342DB01ZI.pdf"), "342DB01/0/ZI")</f>
        <v>342DB01/0/ZI</v>
      </c>
      <c r="M411" s="5" t="str">
        <f>HYPERLINK(CONCATENATE(TabelleURL!$B$1,"345_Signalbox/3450253.pdf"), "3450253")</f>
        <v>3450253</v>
      </c>
      <c r="R411" s="66" t="s">
        <v>11</v>
      </c>
      <c r="S411" s="67" t="str">
        <f>HYPERLINK(CONCATENATE(TabelleURL!$B$1,"347_URI/3474721.pdf"), "B-3474722")</f>
        <v>B-3474722</v>
      </c>
      <c r="T411" s="63">
        <v>3474721</v>
      </c>
      <c r="U411" s="5" t="s">
        <v>586</v>
      </c>
      <c r="W411" s="5"/>
      <c r="X411" s="17"/>
      <c r="Y411" s="8"/>
      <c r="AC411" s="18"/>
      <c r="AF411" s="8" t="str">
        <f>HYPERLINK(CONCATENATE(TabelleURL!$B$1,"340_Helfer/3404700.pdf"), "B-3404700")</f>
        <v>B-3404700</v>
      </c>
      <c r="AG411" s="2" t="str">
        <f>HYPERLINK(CONCATENATE(TabelleURL!$B$1,"340_Helfer/3404701.pdf"), "3404701")</f>
        <v>3404701</v>
      </c>
      <c r="AH411" s="4" t="str">
        <f>HYPERLINK(CONCATENATE(TabelleURL!$B$1,"346_CAN2com/3475821.pdf"), "3475821")</f>
        <v>3475821</v>
      </c>
      <c r="AI411" s="5" t="str">
        <f>HYPERLINK(CONCATENATE(TabelleURL!$B$1,"3499_Taxi/34990017.pdf"), "34990017")</f>
        <v>34990017</v>
      </c>
      <c r="AL411" s="3" t="s">
        <v>7</v>
      </c>
      <c r="AN411" s="2" t="str">
        <f>HYPERLINK(CONCATENATE(TabelleURL!$B$1,"350_RICI_PDC_OBI/3500031 OBI Alfa BMW Fiat Merc Opel VW D_E.pdf"), "3500031")</f>
        <v>3500031</v>
      </c>
    </row>
    <row r="412" spans="1:47" ht="22.5">
      <c r="A412" s="1" t="s">
        <v>579</v>
      </c>
      <c r="B412" s="1" t="s">
        <v>654</v>
      </c>
      <c r="C412" s="1" t="s">
        <v>655</v>
      </c>
      <c r="D412" s="1" t="s">
        <v>601</v>
      </c>
      <c r="E412" s="76" t="s">
        <v>587</v>
      </c>
      <c r="F412" s="70" t="s">
        <v>656</v>
      </c>
      <c r="G412" s="2" t="str">
        <f>HYPERLINK(CONCATENATE(TabelleURL!$B$1,"332_ADIF/332DB01.pdf"), "332DB01KA")</f>
        <v>332DB01KA</v>
      </c>
      <c r="I412" s="2" t="str">
        <f>HYPERLINK(CONCATENATE(TabelleURL!$B$1,"342_ADIF/342DB01ZI.pdf"), "342DB01/0/ZI")</f>
        <v>342DB01/0/ZI</v>
      </c>
      <c r="M412" s="5" t="str">
        <f>HYPERLINK(CONCATENATE(TabelleURL!$B$1,"345_Signalbox/3450253.pdf"), "3450253")</f>
        <v>3450253</v>
      </c>
      <c r="R412" s="66" t="s">
        <v>11</v>
      </c>
      <c r="S412" s="67" t="str">
        <f>HYPERLINK(CONCATENATE(TabelleURL!$B$1,"347_URI/3474721.pdf"), "B-3474724")</f>
        <v>B-3474724</v>
      </c>
      <c r="T412" s="63">
        <v>3474721</v>
      </c>
      <c r="U412" s="5" t="s">
        <v>588</v>
      </c>
      <c r="W412" s="5"/>
      <c r="X412" s="17"/>
      <c r="Y412" s="8"/>
      <c r="AC412" s="18"/>
      <c r="AF412" s="8" t="str">
        <f>HYPERLINK(CONCATENATE(TabelleURL!$B$1,"340_Helfer/3404700.pdf"), "B-3404700")</f>
        <v>B-3404700</v>
      </c>
      <c r="AG412" s="2" t="str">
        <f>HYPERLINK(CONCATENATE(TabelleURL!$B$1,"340_Helfer/3404701.pdf"), "3404701")</f>
        <v>3404701</v>
      </c>
      <c r="AH412" s="4" t="str">
        <f>HYPERLINK(CONCATENATE(TabelleURL!$B$1,"346_CAN2com/3475821.pdf"), "3475821")</f>
        <v>3475821</v>
      </c>
      <c r="AI412" s="5" t="str">
        <f>HYPERLINK(CONCATENATE(TabelleURL!$B$1,"3499_Taxi/34990017.pdf"), "34990017")</f>
        <v>34990017</v>
      </c>
      <c r="AL412" s="3" t="s">
        <v>7</v>
      </c>
      <c r="AN412" s="2" t="str">
        <f>HYPERLINK(CONCATENATE(TabelleURL!$B$1,"350_RICI_PDC_OBI/3500031 OBI Alfa BMW Fiat Merc Opel VW D_E.pdf"), "3500031")</f>
        <v>3500031</v>
      </c>
    </row>
    <row r="413" spans="1:47" ht="22.5">
      <c r="A413" s="1" t="s">
        <v>579</v>
      </c>
      <c r="B413" s="1" t="s">
        <v>654</v>
      </c>
      <c r="C413" s="1" t="s">
        <v>655</v>
      </c>
      <c r="D413" s="1" t="s">
        <v>601</v>
      </c>
      <c r="E413" s="76" t="s">
        <v>589</v>
      </c>
      <c r="F413" s="70" t="s">
        <v>656</v>
      </c>
      <c r="G413" s="2" t="str">
        <f>HYPERLINK(CONCATENATE(TabelleURL!$B$1,"332_ADIF/332DB01.pdf"), "332DB01KA")</f>
        <v>332DB01KA</v>
      </c>
      <c r="I413" s="2" t="str">
        <f>HYPERLINK(CONCATENATE(TabelleURL!$B$1,"342_ADIF/342DB01ZI.pdf"), "342DB01/0/ZI")</f>
        <v>342DB01/0/ZI</v>
      </c>
      <c r="M413" s="5" t="str">
        <f>HYPERLINK(CONCATENATE(TabelleURL!$B$1,"345_Signalbox/3450253.pdf"), "3450253")</f>
        <v>3450253</v>
      </c>
      <c r="R413" s="66" t="s">
        <v>11</v>
      </c>
      <c r="S413" s="67" t="str">
        <f>HYPERLINK(CONCATENATE(TabelleURL!$B$1,"347_URI/3474721.pdf"), "B-3474723")</f>
        <v>B-3474723</v>
      </c>
      <c r="T413" s="63">
        <v>3474721</v>
      </c>
      <c r="U413" s="5" t="s">
        <v>590</v>
      </c>
      <c r="W413" s="5"/>
      <c r="X413" s="17"/>
      <c r="Y413" s="8"/>
      <c r="AC413" s="18"/>
      <c r="AF413" s="8" t="str">
        <f>HYPERLINK(CONCATENATE(TabelleURL!$B$1,"340_Helfer/3404700.pdf"), "B-3404700")</f>
        <v>B-3404700</v>
      </c>
      <c r="AG413" s="2" t="str">
        <f>HYPERLINK(CONCATENATE(TabelleURL!$B$1,"340_Helfer/3404701.pdf"), "3404701")</f>
        <v>3404701</v>
      </c>
      <c r="AH413" s="4" t="str">
        <f>HYPERLINK(CONCATENATE(TabelleURL!$B$1,"346_CAN2com/3475821.pdf"), "3475821")</f>
        <v>3475821</v>
      </c>
      <c r="AI413" s="5" t="str">
        <f>HYPERLINK(CONCATENATE(TabelleURL!$B$1,"3499_Taxi/34990017.pdf"), "34990017")</f>
        <v>34990017</v>
      </c>
      <c r="AL413" s="3" t="s">
        <v>7</v>
      </c>
      <c r="AN413" s="2" t="str">
        <f>HYPERLINK(CONCATENATE(TabelleURL!$B$1,"350_RICI_PDC_OBI/3500031 OBI Alfa BMW Fiat Merc Opel VW D_E.pdf"), "3500031")</f>
        <v>3500031</v>
      </c>
    </row>
    <row r="414" spans="1:47">
      <c r="A414" s="1" t="s">
        <v>579</v>
      </c>
      <c r="B414" s="1" t="s">
        <v>654</v>
      </c>
      <c r="C414" s="1" t="s">
        <v>657</v>
      </c>
      <c r="D414" s="1" t="s">
        <v>426</v>
      </c>
      <c r="G414" s="2" t="str">
        <f>HYPERLINK(CONCATENATE(TabelleURL!$B$1,"332_ADIF/332DB05.pdf"), "332DB05KA")</f>
        <v>332DB05KA</v>
      </c>
      <c r="I414" s="2" t="str">
        <f>HYPERLINK(CONCATENATE(TabelleURL!$B$1,"332_ADIF/332DB05ZI.pdf"), "332DB05/0/ZI")</f>
        <v>332DB05/0/ZI</v>
      </c>
      <c r="M414" s="5" t="str">
        <f>HYPERLINK(CONCATENATE(TabelleURL!$B$1,"345_Signalbox/3450254.pdf"), "3450254")</f>
        <v>3450254</v>
      </c>
      <c r="R414" s="66" t="s">
        <v>11</v>
      </c>
      <c r="S414" s="67" t="str">
        <f>HYPERLINK(CONCATENATE(TabelleURL!$B$1,"347_URI/3444723.pdf"), "B-3444723")</f>
        <v>B-3444723</v>
      </c>
      <c r="T414" s="63"/>
      <c r="U414" s="5"/>
      <c r="W414" s="5"/>
      <c r="X414" s="17"/>
      <c r="Y414" s="8"/>
      <c r="AC414" s="18"/>
      <c r="AF414" s="8" t="str">
        <f>HYPERLINK(CONCATENATE(TabelleURL!$B$1,"340_Helfer/3404700.pdf"), "B-3404700")</f>
        <v>B-3404700</v>
      </c>
      <c r="AG414" s="2" t="str">
        <f>HYPERLINK(CONCATENATE(TabelleURL!$B$1,"340_Helfer/3404701.pdf"), "3404701")</f>
        <v>3404701</v>
      </c>
      <c r="AH414" s="4" t="str">
        <f>HYPERLINK(CONCATENATE(TabelleURL!$B$1,"346_CAN2com/3475821.pdf"), "3475821")</f>
        <v>3475821</v>
      </c>
      <c r="AT414" s="2" t="str">
        <f>HYPERLINK(CONCATENATE(TabelleURL!$B$1,"340_Helfer/3406821.pdf"), "B-3406821")</f>
        <v>B-3406821</v>
      </c>
    </row>
    <row r="415" spans="1:47">
      <c r="A415" s="1" t="s">
        <v>579</v>
      </c>
      <c r="B415" s="1" t="s">
        <v>658</v>
      </c>
      <c r="C415" s="1" t="s">
        <v>659</v>
      </c>
      <c r="D415" s="1" t="s">
        <v>119</v>
      </c>
      <c r="E415" s="76" t="s">
        <v>585</v>
      </c>
      <c r="G415" s="2" t="str">
        <f>HYPERLINK(CONCATENATE(TabelleURL!$B$1,"332_ADIF/332DB01.pdf"), "332DB01KA")</f>
        <v>332DB01KA</v>
      </c>
      <c r="I415" s="2" t="str">
        <f>HYPERLINK(CONCATENATE(TabelleURL!$B$1,"342_ADIF/342DB01ZI.pdf"), "342DB01/0/ZI")</f>
        <v>342DB01/0/ZI</v>
      </c>
      <c r="R415" s="66" t="s">
        <v>11</v>
      </c>
      <c r="S415" s="67" t="str">
        <f>HYPERLINK(CONCATENATE(TabelleURL!$B$1,"347_URI/3474721.pdf"), "B-3474722")</f>
        <v>B-3474722</v>
      </c>
      <c r="T415" s="63">
        <v>3474721</v>
      </c>
      <c r="U415" s="5" t="s">
        <v>586</v>
      </c>
      <c r="W415" s="5"/>
      <c r="X415" s="17"/>
      <c r="Y415" s="8"/>
      <c r="AC415" s="18"/>
      <c r="AF415" s="8" t="str">
        <f>HYPERLINK(CONCATENATE(TabelleURL!$B$1,"340_Helfer/3404700.pdf"), "B-3404700")</f>
        <v>B-3404700</v>
      </c>
      <c r="AG415" s="2" t="str">
        <f>HYPERLINK(CONCATENATE(TabelleURL!$B$1,"340_Helfer/3404701.pdf"), "3404701")</f>
        <v>3404701</v>
      </c>
      <c r="AH415" s="4" t="str">
        <f>HYPERLINK(CONCATENATE(TabelleURL!$B$1,"346_CAN2com/3475821.pdf"), "3475821")</f>
        <v>3475821</v>
      </c>
      <c r="AI415" s="5" t="str">
        <f>HYPERLINK(CONCATENATE(TabelleURL!$B$1,"3499_Taxi/34990015.pdf"), "34990015")</f>
        <v>34990015</v>
      </c>
      <c r="AL415" s="3" t="s">
        <v>7</v>
      </c>
      <c r="AN415" s="2" t="str">
        <f>HYPERLINK(CONCATENATE(TabelleURL!$B$1,"350_RICI_PDC_OBI/3500031 OBI Alfa BMW Fiat Merc Opel VW D_E.pdf"), "3500031")</f>
        <v>3500031</v>
      </c>
    </row>
    <row r="416" spans="1:47" ht="22.5">
      <c r="A416" s="1" t="s">
        <v>579</v>
      </c>
      <c r="B416" s="1" t="s">
        <v>658</v>
      </c>
      <c r="C416" s="1" t="s">
        <v>659</v>
      </c>
      <c r="D416" s="1" t="s">
        <v>119</v>
      </c>
      <c r="E416" s="76" t="s">
        <v>587</v>
      </c>
      <c r="G416" s="2" t="str">
        <f>HYPERLINK(CONCATENATE(TabelleURL!$B$1,"332_ADIF/332DB01.pdf"), "332DB01KA")</f>
        <v>332DB01KA</v>
      </c>
      <c r="I416" s="2" t="str">
        <f>HYPERLINK(CONCATENATE(TabelleURL!$B$1,"342_ADIF/342DB01ZI.pdf"), "342DB01/0/ZI")</f>
        <v>342DB01/0/ZI</v>
      </c>
      <c r="R416" s="66" t="s">
        <v>11</v>
      </c>
      <c r="S416" s="67" t="str">
        <f>HYPERLINK(CONCATENATE(TabelleURL!$B$1,"347_URI/3474721.pdf"), "B-3474724")</f>
        <v>B-3474724</v>
      </c>
      <c r="T416" s="63">
        <v>3474721</v>
      </c>
      <c r="U416" s="5" t="s">
        <v>588</v>
      </c>
      <c r="W416" s="5"/>
      <c r="X416" s="17"/>
      <c r="Y416" s="8"/>
      <c r="AC416" s="18"/>
      <c r="AF416" s="8" t="str">
        <f>HYPERLINK(CONCATENATE(TabelleURL!$B$1,"340_Helfer/3404700.pdf"), "B-3404700")</f>
        <v>B-3404700</v>
      </c>
      <c r="AG416" s="2" t="str">
        <f>HYPERLINK(CONCATENATE(TabelleURL!$B$1,"340_Helfer/3404701.pdf"), "3404701")</f>
        <v>3404701</v>
      </c>
      <c r="AH416" s="4" t="str">
        <f>HYPERLINK(CONCATENATE(TabelleURL!$B$1,"346_CAN2com/3475821.pdf"), "3475821")</f>
        <v>3475821</v>
      </c>
      <c r="AI416" s="5" t="str">
        <f>HYPERLINK(CONCATENATE(TabelleURL!$B$1,"3499_Taxi/34990015.pdf"), "34990015")</f>
        <v>34990015</v>
      </c>
      <c r="AL416" s="3" t="s">
        <v>7</v>
      </c>
      <c r="AN416" s="2" t="str">
        <f>HYPERLINK(CONCATENATE(TabelleURL!$B$1,"350_RICI_PDC_OBI/3500031 OBI Alfa BMW Fiat Merc Opel VW D_E.pdf"), "3500031")</f>
        <v>3500031</v>
      </c>
    </row>
    <row r="417" spans="1:46" ht="22.5">
      <c r="A417" s="1" t="s">
        <v>579</v>
      </c>
      <c r="B417" s="1" t="s">
        <v>658</v>
      </c>
      <c r="C417" s="1" t="s">
        <v>659</v>
      </c>
      <c r="D417" s="1" t="s">
        <v>119</v>
      </c>
      <c r="E417" s="76" t="s">
        <v>589</v>
      </c>
      <c r="G417" s="2" t="str">
        <f>HYPERLINK(CONCATENATE(TabelleURL!$B$1,"332_ADIF/332DB01.pdf"), "332DB01KA")</f>
        <v>332DB01KA</v>
      </c>
      <c r="I417" s="2" t="str">
        <f>HYPERLINK(CONCATENATE(TabelleURL!$B$1,"342_ADIF/342DB01ZI.pdf"), "342DB01/0/ZI")</f>
        <v>342DB01/0/ZI</v>
      </c>
      <c r="R417" s="66" t="s">
        <v>11</v>
      </c>
      <c r="S417" s="67" t="str">
        <f>HYPERLINK(CONCATENATE(TabelleURL!$B$1,"347_URI/3474721.pdf"), "B-3474723")</f>
        <v>B-3474723</v>
      </c>
      <c r="T417" s="63">
        <v>3474721</v>
      </c>
      <c r="U417" s="5" t="s">
        <v>590</v>
      </c>
      <c r="W417" s="5"/>
      <c r="X417" s="17"/>
      <c r="Y417" s="8"/>
      <c r="AC417" s="18"/>
      <c r="AF417" s="8" t="str">
        <f>HYPERLINK(CONCATENATE(TabelleURL!$B$1,"340_Helfer/3404700.pdf"), "B-3404700")</f>
        <v>B-3404700</v>
      </c>
      <c r="AG417" s="2" t="str">
        <f>HYPERLINK(CONCATENATE(TabelleURL!$B$1,"340_Helfer/3404701.pdf"), "3404701")</f>
        <v>3404701</v>
      </c>
      <c r="AH417" s="4" t="str">
        <f>HYPERLINK(CONCATENATE(TabelleURL!$B$1,"346_CAN2com/3475821.pdf"), "3475821")</f>
        <v>3475821</v>
      </c>
      <c r="AI417" s="5" t="str">
        <f>HYPERLINK(CONCATENATE(TabelleURL!$B$1,"3499_Taxi/34990015.pdf"), "34990015")</f>
        <v>34990015</v>
      </c>
      <c r="AL417" s="3" t="s">
        <v>7</v>
      </c>
      <c r="AN417" s="2" t="str">
        <f>HYPERLINK(CONCATENATE(TabelleURL!$B$1,"350_RICI_PDC_OBI/3500031 OBI Alfa BMW Fiat Merc Opel VW D_E.pdf"), "3500031")</f>
        <v>3500031</v>
      </c>
    </row>
    <row r="418" spans="1:46">
      <c r="A418" s="1" t="s">
        <v>579</v>
      </c>
      <c r="B418" s="1" t="s">
        <v>660</v>
      </c>
      <c r="C418" s="1" t="s">
        <v>661</v>
      </c>
      <c r="D418" s="1" t="s">
        <v>13</v>
      </c>
      <c r="E418" s="76" t="s">
        <v>662</v>
      </c>
      <c r="T418" s="63">
        <v>3474721</v>
      </c>
      <c r="U418" s="5"/>
      <c r="W418" s="5"/>
      <c r="X418" s="17"/>
      <c r="Y418" s="8"/>
      <c r="AC418" s="18"/>
      <c r="AF418" s="8" t="str">
        <f>HYPERLINK(CONCATENATE(TabelleURL!$B$1,"340_Helfer/3404700.pdf"), "B-3404700")</f>
        <v>B-3404700</v>
      </c>
      <c r="AG418" s="2" t="str">
        <f>HYPERLINK(CONCATENATE(TabelleURL!$B$1,"340_Helfer/3404701.pdf"), "3404701")</f>
        <v>3404701</v>
      </c>
      <c r="AH418" s="4" t="str">
        <f>HYPERLINK(CONCATENATE(TabelleURL!$B$1,"346_CAN2com/3475821.pdf"), "3475821")</f>
        <v>3475821</v>
      </c>
      <c r="AL418" s="3" t="s">
        <v>7</v>
      </c>
      <c r="AN418" s="2" t="str">
        <f>HYPERLINK(CONCATENATE(TabelleURL!$B$1,"350_RICI_PDC_OBI/3500031 OBI Alfa BMW Fiat Merc Opel VW D_E.pdf"), "3500031")</f>
        <v>3500031</v>
      </c>
      <c r="AQ418" s="7" t="s">
        <v>610</v>
      </c>
    </row>
    <row r="419" spans="1:46">
      <c r="A419" s="1" t="s">
        <v>579</v>
      </c>
      <c r="B419" s="1" t="s">
        <v>660</v>
      </c>
      <c r="C419" s="1" t="s">
        <v>663</v>
      </c>
      <c r="D419" s="1" t="s">
        <v>119</v>
      </c>
      <c r="G419" s="2" t="str">
        <f>HYPERLINK(CONCATENATE(TabelleURL!$B$1,"332_ADIF/332DB05.pdf"), "332DB05KA")</f>
        <v>332DB05KA</v>
      </c>
      <c r="I419" s="2" t="str">
        <f>HYPERLINK(CONCATENATE(TabelleURL!$B$1,"332_ADIF/332DB05ZI.pdf"), "332DB05/0/ZI")</f>
        <v>332DB05/0/ZI</v>
      </c>
      <c r="M419" s="5" t="str">
        <f>HYPERLINK(CONCATENATE(TabelleURL!$B$1,"345_Signalbox/3450254.pdf"), "3450254")</f>
        <v>3450254</v>
      </c>
      <c r="R419" s="66" t="s">
        <v>11</v>
      </c>
      <c r="S419" s="67" t="str">
        <f>HYPERLINK(CONCATENATE(TabelleURL!$B$1,"344_URI2/3444723.pdf"), "B-3444723")</f>
        <v>B-3444723</v>
      </c>
      <c r="T419" s="63"/>
      <c r="U419" s="5"/>
      <c r="W419" s="5"/>
      <c r="X419" s="17"/>
      <c r="Y419" s="8"/>
      <c r="AC419" s="18"/>
      <c r="AF419" s="8" t="str">
        <f>HYPERLINK(CONCATENATE(TabelleURL!$B$1,"340_Helfer/3404700.pdf"), "B-3404700")</f>
        <v>B-3404700</v>
      </c>
      <c r="AG419" s="2" t="str">
        <f>HYPERLINK(CONCATENATE(TabelleURL!$B$1,"340_Helfer/3404701.pdf"), "3404701")</f>
        <v>3404701</v>
      </c>
      <c r="AH419" s="4" t="str">
        <f>HYPERLINK(CONCATENATE(TabelleURL!$B$1,"346_CAN2com/3475821.pdf"), "3475821")</f>
        <v>3475821</v>
      </c>
      <c r="AI419" s="5" t="str">
        <f>HYPERLINK(CONCATENATE(TabelleURL!$B$1,"3499_Taxi/34990011.pdf"), "34990011")</f>
        <v>34990011</v>
      </c>
      <c r="AK419" s="5" t="str">
        <f>HYPERLINK(CONCATENATE(TabelleURL!$B$1,"3499_Taxi/34990011-2.pdf"), "34990011-2")</f>
        <v>34990011-2</v>
      </c>
      <c r="AT419" s="2" t="str">
        <f>HYPERLINK(CONCATENATE(TabelleURL!$B$1,"340_Helfer/3406821.pdf"), "B-3406821")</f>
        <v>B-3406821</v>
      </c>
    </row>
    <row r="420" spans="1:46">
      <c r="A420" s="1" t="s">
        <v>579</v>
      </c>
      <c r="B420" s="1" t="s">
        <v>660</v>
      </c>
      <c r="C420" s="1" t="s">
        <v>664</v>
      </c>
      <c r="D420" s="1" t="s">
        <v>19</v>
      </c>
      <c r="G420" s="2" t="str">
        <f>HYPERLINK(CONCATENATE(TabelleURL!$B$1,"332_ADIF/332DB06.pdf"), "332DB06KA")</f>
        <v>332DB06KA</v>
      </c>
      <c r="P420" s="5" t="str">
        <f>HYPERLINK(CONCATENATE(TabelleURL!$B$1,"345_Signalbox/3450292-W.pdf"), "3450292-W")</f>
        <v>3450292-W</v>
      </c>
      <c r="T420" s="63"/>
      <c r="U420" s="5"/>
      <c r="W420" s="5"/>
      <c r="X420" s="17"/>
      <c r="Y420" s="8"/>
      <c r="AC420" s="18"/>
      <c r="AG420" s="2"/>
      <c r="AI420" s="5" t="str">
        <f>HYPERLINK(CONCATENATE(TabelleURL!$B$1,"3499_Taxi/34990014.pdf"), "34990014")</f>
        <v>34990014</v>
      </c>
    </row>
    <row r="421" spans="1:46">
      <c r="A421" s="1" t="s">
        <v>579</v>
      </c>
      <c r="B421" s="1" t="s">
        <v>665</v>
      </c>
      <c r="C421" s="1" t="s">
        <v>666</v>
      </c>
      <c r="D421" s="1" t="s">
        <v>667</v>
      </c>
      <c r="E421" s="76" t="s">
        <v>662</v>
      </c>
      <c r="F421" s="70" t="s">
        <v>668</v>
      </c>
      <c r="T421" s="63">
        <v>3474721</v>
      </c>
      <c r="U421" s="5"/>
      <c r="W421" s="5"/>
      <c r="X421" s="17"/>
      <c r="Y421" s="8"/>
      <c r="AC421" s="18"/>
      <c r="AF421" s="8" t="str">
        <f>HYPERLINK(CONCATENATE(TabelleURL!$B$1,"340_Helfer/3404700.pdf"), "B-3404700")</f>
        <v>B-3404700</v>
      </c>
      <c r="AG421" s="2" t="str">
        <f>HYPERLINK(CONCATENATE(TabelleURL!$B$1,"340_Helfer/3404701.pdf"), "3404701")</f>
        <v>3404701</v>
      </c>
      <c r="AH421" s="4" t="str">
        <f>HYPERLINK(CONCATENATE(TabelleURL!$B$1,"346_CAN2com/3475821.pdf"), "3475821")</f>
        <v>3475821</v>
      </c>
      <c r="AL421" s="3" t="s">
        <v>7</v>
      </c>
      <c r="AN421" s="2" t="str">
        <f>HYPERLINK(CONCATENATE(TabelleURL!$B$1,"350_RICI_PDC_OBI/3500031 OBI Alfa BMW Fiat Merc Opel VW D_E.pdf"), "3500031")</f>
        <v>3500031</v>
      </c>
    </row>
    <row r="422" spans="1:46">
      <c r="A422" s="1" t="s">
        <v>579</v>
      </c>
      <c r="B422" s="1" t="s">
        <v>665</v>
      </c>
      <c r="C422" s="1" t="s">
        <v>669</v>
      </c>
      <c r="D422" s="1" t="s">
        <v>61</v>
      </c>
      <c r="M422" s="5" t="str">
        <f>HYPERLINK(CONCATENATE(TabelleURL!$B$1,"345_Signalbox/3450254.pdf"), "3450254")</f>
        <v>3450254</v>
      </c>
      <c r="T422" s="63"/>
      <c r="U422" s="5"/>
      <c r="W422" s="5"/>
      <c r="X422" s="17"/>
      <c r="Y422" s="8"/>
      <c r="AC422" s="18"/>
      <c r="AH422" s="4" t="str">
        <f>HYPERLINK(CONCATENATE(TabelleURL!$B$1,"346_CAN2com/3475821.pdf"), "3475821")</f>
        <v>3475821</v>
      </c>
      <c r="AT422" s="2" t="str">
        <f>HYPERLINK(CONCATENATE(TabelleURL!$B$1,"340_Helfer/3406821.pdf"), "B-3406821")</f>
        <v>B-3406821</v>
      </c>
    </row>
    <row r="423" spans="1:46">
      <c r="A423" s="1" t="s">
        <v>579</v>
      </c>
      <c r="B423" s="1" t="s">
        <v>670</v>
      </c>
      <c r="C423" s="1" t="s">
        <v>671</v>
      </c>
      <c r="D423" s="1" t="s">
        <v>82</v>
      </c>
      <c r="E423" s="76" t="s">
        <v>585</v>
      </c>
      <c r="G423" s="2" t="str">
        <f>HYPERLINK(CONCATENATE(TabelleURL!$B$1,"332_ADIF/332DB01.pdf"), "332DB01KA")</f>
        <v>332DB01KA</v>
      </c>
      <c r="I423" s="2" t="str">
        <f>HYPERLINK(CONCATENATE(TabelleURL!$B$1,"342_ADIF/342DB01ZI.pdf"), "342DB01/0/ZI")</f>
        <v>342DB01/0/ZI</v>
      </c>
      <c r="M423" s="5" t="str">
        <f>HYPERLINK(CONCATENATE(TabelleURL!$B$1,"345_Signalbox/3450253.pdf"), "3450253")</f>
        <v>3450253</v>
      </c>
      <c r="R423" s="66" t="s">
        <v>11</v>
      </c>
      <c r="S423" s="67" t="str">
        <f>HYPERLINK(CONCATENATE(TabelleURL!$B$1,"347_URI/3474721.pdf"), "B-3474722")</f>
        <v>B-3474722</v>
      </c>
      <c r="T423" s="63">
        <v>3474721</v>
      </c>
      <c r="U423" s="5" t="s">
        <v>586</v>
      </c>
      <c r="W423" s="5"/>
      <c r="X423" s="17"/>
      <c r="Y423" s="8"/>
      <c r="AC423" s="18"/>
      <c r="AF423" s="8" t="str">
        <f>HYPERLINK(CONCATENATE(TabelleURL!$B$1,"340_Helfer/3404700.pdf"), "B-3404700")</f>
        <v>B-3404700</v>
      </c>
      <c r="AG423" s="2" t="str">
        <f>HYPERLINK(CONCATENATE(TabelleURL!$B$1,"340_Helfer/3404701.pdf"), "3404701")</f>
        <v>3404701</v>
      </c>
      <c r="AH423" s="4" t="str">
        <f>HYPERLINK(CONCATENATE(TabelleURL!$B$1,"346_CAN2com/3475821.pdf"), "3475821")</f>
        <v>3475821</v>
      </c>
      <c r="AL423" s="3" t="s">
        <v>7</v>
      </c>
      <c r="AN423" s="2" t="str">
        <f>HYPERLINK(CONCATENATE(TabelleURL!$B$1,"350_RICI_PDC_OBI/3500031 OBI Alfa BMW Fiat Merc Opel VW D_E.pdf"), "3500031")</f>
        <v>3500031</v>
      </c>
    </row>
    <row r="424" spans="1:46" ht="22.5">
      <c r="A424" s="1" t="s">
        <v>579</v>
      </c>
      <c r="B424" s="1" t="s">
        <v>670</v>
      </c>
      <c r="C424" s="1" t="s">
        <v>671</v>
      </c>
      <c r="D424" s="1" t="s">
        <v>82</v>
      </c>
      <c r="E424" s="76" t="s">
        <v>587</v>
      </c>
      <c r="G424" s="2" t="str">
        <f>HYPERLINK(CONCATENATE(TabelleURL!$B$1,"332_ADIF/332DB01.pdf"), "332DB01KA")</f>
        <v>332DB01KA</v>
      </c>
      <c r="I424" s="2" t="str">
        <f>HYPERLINK(CONCATENATE(TabelleURL!$B$1,"342_ADIF/342DB01ZI.pdf"), "342DB01/0/ZI")</f>
        <v>342DB01/0/ZI</v>
      </c>
      <c r="M424" s="5" t="str">
        <f>HYPERLINK(CONCATENATE(TabelleURL!$B$1,"345_Signalbox/3450253.pdf"), "3450253")</f>
        <v>3450253</v>
      </c>
      <c r="R424" s="66" t="s">
        <v>11</v>
      </c>
      <c r="S424" s="67" t="str">
        <f>HYPERLINK(CONCATENATE(TabelleURL!$B$1,"347_URI/3474721.pdf"), "B-3474724")</f>
        <v>B-3474724</v>
      </c>
      <c r="T424" s="63">
        <v>3474721</v>
      </c>
      <c r="U424" s="5" t="s">
        <v>588</v>
      </c>
      <c r="W424" s="5"/>
      <c r="X424" s="17"/>
      <c r="Y424" s="8"/>
      <c r="AC424" s="18"/>
      <c r="AF424" s="8" t="str">
        <f>HYPERLINK(CONCATENATE(TabelleURL!$B$1,"340_Helfer/3404700.pdf"), "B-3404700")</f>
        <v>B-3404700</v>
      </c>
      <c r="AG424" s="2" t="str">
        <f>HYPERLINK(CONCATENATE(TabelleURL!$B$1,"340_Helfer/3404701.pdf"), "3404701")</f>
        <v>3404701</v>
      </c>
      <c r="AH424" s="4" t="str">
        <f>HYPERLINK(CONCATENATE(TabelleURL!$B$1,"346_CAN2com/3475821.pdf"), "3475821")</f>
        <v>3475821</v>
      </c>
      <c r="AL424" s="3" t="s">
        <v>7</v>
      </c>
      <c r="AN424" s="2" t="str">
        <f>HYPERLINK(CONCATENATE(TabelleURL!$B$1,"350_RICI_PDC_OBI/3500031 OBI Alfa BMW Fiat Merc Opel VW D_E.pdf"), "3500031")</f>
        <v>3500031</v>
      </c>
    </row>
    <row r="425" spans="1:46" ht="22.5">
      <c r="A425" s="1" t="s">
        <v>579</v>
      </c>
      <c r="B425" s="1" t="s">
        <v>670</v>
      </c>
      <c r="C425" s="1" t="s">
        <v>671</v>
      </c>
      <c r="D425" s="1" t="s">
        <v>82</v>
      </c>
      <c r="E425" s="76" t="s">
        <v>589</v>
      </c>
      <c r="G425" s="2" t="str">
        <f>HYPERLINK(CONCATENATE(TabelleURL!$B$1,"332_ADIF/332DB01.pdf"), "332DB01KA")</f>
        <v>332DB01KA</v>
      </c>
      <c r="I425" s="2" t="str">
        <f>HYPERLINK(CONCATENATE(TabelleURL!$B$1,"342_ADIF/342DB01ZI.pdf"), "342DB01/0/ZI")</f>
        <v>342DB01/0/ZI</v>
      </c>
      <c r="M425" s="5" t="str">
        <f>HYPERLINK(CONCATENATE(TabelleURL!$B$1,"345_Signalbox/3450253.pdf"), "3450253")</f>
        <v>3450253</v>
      </c>
      <c r="R425" s="66" t="s">
        <v>11</v>
      </c>
      <c r="S425" s="67" t="str">
        <f>HYPERLINK(CONCATENATE(TabelleURL!$B$1,"347_URI/3474721.pdf"), "B-3474723")</f>
        <v>B-3474723</v>
      </c>
      <c r="T425" s="63">
        <v>3474721</v>
      </c>
      <c r="U425" s="5" t="s">
        <v>590</v>
      </c>
      <c r="W425" s="5"/>
      <c r="X425" s="17"/>
      <c r="Y425" s="8"/>
      <c r="AC425" s="18"/>
      <c r="AF425" s="8" t="str">
        <f>HYPERLINK(CONCATENATE(TabelleURL!$B$1,"340_Helfer/3404700.pdf"), "B-3404700")</f>
        <v>B-3404700</v>
      </c>
      <c r="AG425" s="2" t="str">
        <f>HYPERLINK(CONCATENATE(TabelleURL!$B$1,"340_Helfer/3404701.pdf"), "3404701")</f>
        <v>3404701</v>
      </c>
      <c r="AH425" s="4" t="str">
        <f>HYPERLINK(CONCATENATE(TabelleURL!$B$1,"346_CAN2com/3475821.pdf"), "3475821")</f>
        <v>3475821</v>
      </c>
      <c r="AL425" s="3" t="s">
        <v>7</v>
      </c>
      <c r="AN425" s="2" t="str">
        <f>HYPERLINK(CONCATENATE(TabelleURL!$B$1,"350_RICI_PDC_OBI/3500031 OBI Alfa BMW Fiat Merc Opel VW D_E.pdf"), "3500031")</f>
        <v>3500031</v>
      </c>
    </row>
    <row r="426" spans="1:46">
      <c r="A426" s="1" t="s">
        <v>579</v>
      </c>
      <c r="B426" s="1" t="s">
        <v>670</v>
      </c>
      <c r="C426" s="1" t="s">
        <v>672</v>
      </c>
      <c r="D426" s="1" t="s">
        <v>86</v>
      </c>
      <c r="T426" s="63"/>
      <c r="U426" s="5"/>
      <c r="W426" s="5"/>
      <c r="X426" s="17"/>
      <c r="Y426" s="8"/>
      <c r="AC426" s="18"/>
      <c r="AG426" s="2"/>
    </row>
    <row r="427" spans="1:46">
      <c r="A427" s="1" t="s">
        <v>579</v>
      </c>
      <c r="B427" s="1" t="s">
        <v>673</v>
      </c>
      <c r="C427" s="1" t="s">
        <v>674</v>
      </c>
      <c r="D427" s="1" t="s">
        <v>675</v>
      </c>
      <c r="E427" s="76" t="s">
        <v>585</v>
      </c>
      <c r="G427" s="2" t="str">
        <f>HYPERLINK(CONCATENATE(TabelleURL!$B$1,"332_ADIF/332DB01.pdf"), "332DB01KA")</f>
        <v>332DB01KA</v>
      </c>
      <c r="I427" s="2" t="str">
        <f>HYPERLINK(CONCATENATE(TabelleURL!$B$1,"342_ADIF/342DB01ZI.pdf"), "342DB01/0/ZI")</f>
        <v>342DB01/0/ZI</v>
      </c>
      <c r="R427" s="66" t="s">
        <v>11</v>
      </c>
      <c r="S427" s="67" t="str">
        <f>HYPERLINK(CONCATENATE(TabelleURL!$B$1,"347_URI/3474721.pdf"), "B-3474722")</f>
        <v>B-3474722</v>
      </c>
      <c r="T427" s="63">
        <v>3474721</v>
      </c>
      <c r="U427" s="5" t="s">
        <v>586</v>
      </c>
      <c r="W427" s="5"/>
      <c r="X427" s="17"/>
      <c r="Y427" s="8"/>
      <c r="AC427" s="18"/>
      <c r="AG427" s="2" t="str">
        <f>HYPERLINK(CONCATENATE(TabelleURL!$B$1,"340_Helfer/3404701.pdf"), "3404701")</f>
        <v>3404701</v>
      </c>
      <c r="AH427" s="4" t="str">
        <f>HYPERLINK(CONCATENATE(TabelleURL!$B$1,"346_CAN2com/3475821.pdf"), "3475821")</f>
        <v>3475821</v>
      </c>
    </row>
    <row r="428" spans="1:46" ht="22.5">
      <c r="A428" s="1" t="s">
        <v>579</v>
      </c>
      <c r="B428" s="1" t="s">
        <v>673</v>
      </c>
      <c r="C428" s="1" t="s">
        <v>674</v>
      </c>
      <c r="D428" s="1" t="s">
        <v>675</v>
      </c>
      <c r="E428" s="76" t="s">
        <v>587</v>
      </c>
      <c r="G428" s="2" t="str">
        <f>HYPERLINK(CONCATENATE(TabelleURL!$B$1,"332_ADIF/332DB01.pdf"), "332DB01KA")</f>
        <v>332DB01KA</v>
      </c>
      <c r="I428" s="2" t="str">
        <f>HYPERLINK(CONCATENATE(TabelleURL!$B$1,"342_ADIF/342DB01ZI.pdf"), "342DB01/0/ZI")</f>
        <v>342DB01/0/ZI</v>
      </c>
      <c r="R428" s="66" t="s">
        <v>11</v>
      </c>
      <c r="S428" s="67" t="str">
        <f>HYPERLINK(CONCATENATE(TabelleURL!$B$1,"347_URI/3474721.pdf"), "B-3474724")</f>
        <v>B-3474724</v>
      </c>
      <c r="T428" s="63">
        <v>3474721</v>
      </c>
      <c r="U428" s="5" t="s">
        <v>588</v>
      </c>
      <c r="W428" s="5"/>
      <c r="X428" s="17"/>
      <c r="Y428" s="8"/>
      <c r="AC428" s="18"/>
      <c r="AF428" s="8" t="str">
        <f>HYPERLINK(CONCATENATE(TabelleURL!$B$1,"340_Helfer/3404700.pdf"), "B-3404700")</f>
        <v>B-3404700</v>
      </c>
      <c r="AG428" s="2" t="str">
        <f>HYPERLINK(CONCATENATE(TabelleURL!$B$1,"340_Helfer/3404701.pdf"), "3404701")</f>
        <v>3404701</v>
      </c>
      <c r="AH428" s="4" t="str">
        <f>HYPERLINK(CONCATENATE(TabelleURL!$B$1,"346_CAN2com/3475821.pdf"), "3475821")</f>
        <v>3475821</v>
      </c>
      <c r="AL428" s="3" t="s">
        <v>7</v>
      </c>
    </row>
    <row r="429" spans="1:46" ht="22.5">
      <c r="A429" s="1" t="s">
        <v>579</v>
      </c>
      <c r="B429" s="1" t="s">
        <v>673</v>
      </c>
      <c r="C429" s="1" t="s">
        <v>674</v>
      </c>
      <c r="D429" s="1" t="s">
        <v>675</v>
      </c>
      <c r="E429" s="76" t="s">
        <v>589</v>
      </c>
      <c r="G429" s="2" t="str">
        <f>HYPERLINK(CONCATENATE(TabelleURL!$B$1,"332_ADIF/332DB01.pdf"), "332DB01KA")</f>
        <v>332DB01KA</v>
      </c>
      <c r="I429" s="2" t="str">
        <f>HYPERLINK(CONCATENATE(TabelleURL!$B$1,"342_ADIF/342DB01ZI.pdf"), "342DB01/0/ZI")</f>
        <v>342DB01/0/ZI</v>
      </c>
      <c r="R429" s="66" t="s">
        <v>11</v>
      </c>
      <c r="S429" s="67" t="str">
        <f>HYPERLINK(CONCATENATE(TabelleURL!$B$1,"347_URI/3474721.pdf"), "B-3474723")</f>
        <v>B-3474723</v>
      </c>
      <c r="T429" s="63">
        <v>3474721</v>
      </c>
      <c r="U429" s="5" t="s">
        <v>590</v>
      </c>
      <c r="W429" s="5"/>
      <c r="X429" s="17"/>
      <c r="Y429" s="8"/>
      <c r="AC429" s="18"/>
      <c r="AF429" s="8" t="str">
        <f>HYPERLINK(CONCATENATE(TabelleURL!$B$1,"340_Helfer/3404700.pdf"), "B-3404700")</f>
        <v>B-3404700</v>
      </c>
      <c r="AG429" s="2" t="str">
        <f>HYPERLINK(CONCATENATE(TabelleURL!$B$1,"340_Helfer/3404701.pdf"), "3404701")</f>
        <v>3404701</v>
      </c>
      <c r="AH429" s="4" t="str">
        <f>HYPERLINK(CONCATENATE(TabelleURL!$B$1,"346_CAN2com/3475821.pdf"), "3475821")</f>
        <v>3475821</v>
      </c>
      <c r="AL429" s="3" t="s">
        <v>7</v>
      </c>
    </row>
    <row r="430" spans="1:46">
      <c r="A430" s="1" t="s">
        <v>579</v>
      </c>
      <c r="B430" s="1" t="s">
        <v>676</v>
      </c>
      <c r="C430" s="1" t="s">
        <v>677</v>
      </c>
      <c r="D430" s="1" t="s">
        <v>1388</v>
      </c>
      <c r="E430" s="76" t="s">
        <v>583</v>
      </c>
      <c r="G430" s="2" t="str">
        <f>HYPERLINK(CONCATENATE(TabelleURL!$B$1,"332_ADIF/332DB01.pdf"), "332DB01KA")</f>
        <v>332DB01KA</v>
      </c>
      <c r="I430" s="2" t="str">
        <f>HYPERLINK(CONCATENATE(TabelleURL!$B$1,"342_ADIF/342DB01ZI.pdf"), "342DB01/0/ZI")</f>
        <v>342DB01/0/ZI</v>
      </c>
      <c r="M430" s="5" t="str">
        <f>HYPERLINK(CONCATENATE(TabelleURL!$B$1,"345_Signalbox/3450250.pdf"), "3450250")</f>
        <v>3450250</v>
      </c>
      <c r="Q430" s="61" t="str">
        <f>HYPERLINK(CONCATENATE(TabelleURL!$B$1,"345_Signalbox/3450301.pdf"), "3450301")</f>
        <v>3450301</v>
      </c>
      <c r="R430" s="66" t="s">
        <v>11</v>
      </c>
      <c r="S430" s="67" t="str">
        <f>HYPERLINK(CONCATENATE(TabelleURL!$B$1,"347_URI/3474721.pdf"), "B-3474721")</f>
        <v>B-3474721</v>
      </c>
      <c r="T430" s="63">
        <v>3474721</v>
      </c>
      <c r="U430" s="5" t="s">
        <v>584</v>
      </c>
      <c r="W430" s="5"/>
      <c r="X430" s="17"/>
      <c r="Y430" s="8"/>
      <c r="AC430" s="18"/>
      <c r="AF430" s="8" t="str">
        <f>HYPERLINK(CONCATENATE(TabelleURL!$B$1,"340_Helfer/3404700.pdf"), "B-3404700")</f>
        <v>B-3404700</v>
      </c>
      <c r="AG430" s="2"/>
      <c r="AH430" s="4" t="str">
        <f>HYPERLINK(CONCATENATE(TabelleURL!$B$1,"346_CAN2com/3475821.pdf"), "3475821")</f>
        <v>3475821</v>
      </c>
      <c r="AI430" s="5" t="str">
        <f>HYPERLINK(CONCATENATE(TabelleURL!$B$1,"3499_Taxi/34990054.pdf"), "34990054")</f>
        <v>34990054</v>
      </c>
      <c r="AL430" s="3" t="s">
        <v>7</v>
      </c>
      <c r="AM430" s="7">
        <v>3450033</v>
      </c>
      <c r="AN430" s="2" t="str">
        <f>HYPERLINK(CONCATENATE(TabelleURL!$B$1,"350_RICI_PDC_OBI/3500031 OBI Alfa BMW Fiat Merc Opel VW D_E.pdf"), "3500031")</f>
        <v>3500031</v>
      </c>
    </row>
    <row r="431" spans="1:46" ht="22.5">
      <c r="A431" s="1" t="s">
        <v>579</v>
      </c>
      <c r="B431" s="1" t="s">
        <v>676</v>
      </c>
      <c r="C431" s="1" t="s">
        <v>677</v>
      </c>
      <c r="D431" s="1" t="s">
        <v>1388</v>
      </c>
      <c r="E431" s="76" t="s">
        <v>585</v>
      </c>
      <c r="F431" s="70" t="s">
        <v>678</v>
      </c>
      <c r="G431" s="2" t="str">
        <f>HYPERLINK(CONCATENATE(TabelleURL!$B$1,"332_ADIF/332DB01.pdf"), "332DB01KA")</f>
        <v>332DB01KA</v>
      </c>
      <c r="I431" s="2" t="str">
        <f>HYPERLINK(CONCATENATE(TabelleURL!$B$1,"342_ADIF/342DB01ZI.pdf"), "342DB01/0/ZI")</f>
        <v>342DB01/0/ZI</v>
      </c>
      <c r="M431" s="5" t="str">
        <f>HYPERLINK(CONCATENATE(TabelleURL!$B$1,"345_Signalbox/3450250.pdf"), "3450250")</f>
        <v>3450250</v>
      </c>
      <c r="Q431" s="61" t="str">
        <f>HYPERLINK(CONCATENATE(TabelleURL!$B$1,"345_Signalbox/3450301.pdf"), "3450301")</f>
        <v>3450301</v>
      </c>
      <c r="R431" s="66" t="s">
        <v>11</v>
      </c>
      <c r="S431" s="67" t="str">
        <f>HYPERLINK(CONCATENATE(TabelleURL!$B$1,"347_URI/3474721.pdf"), "B-3474722")</f>
        <v>B-3474722</v>
      </c>
      <c r="T431" s="63">
        <v>3474721</v>
      </c>
      <c r="U431" s="5" t="s">
        <v>586</v>
      </c>
      <c r="W431" s="5"/>
      <c r="X431" s="17"/>
      <c r="Y431" s="8"/>
      <c r="AC431" s="18"/>
      <c r="AF431" s="8" t="str">
        <f>HYPERLINK(CONCATENATE(TabelleURL!$B$1,"340_Helfer/3404700.pdf"), "B-3404700")</f>
        <v>B-3404700</v>
      </c>
      <c r="AG431" s="2"/>
      <c r="AH431" s="4" t="str">
        <f>HYPERLINK(CONCATENATE(TabelleURL!$B$1,"346_CAN2com/3475821.pdf"), "3475821")</f>
        <v>3475821</v>
      </c>
      <c r="AI431" s="5" t="str">
        <f>HYPERLINK(CONCATENATE(TabelleURL!$B$1,"3499_Taxi/34990054.pdf"), "34990054")</f>
        <v>34990054</v>
      </c>
      <c r="AM431" s="7">
        <v>3450033</v>
      </c>
      <c r="AR431" s="3" t="s">
        <v>679</v>
      </c>
    </row>
    <row r="432" spans="1:46" ht="22.5">
      <c r="A432" s="1" t="s">
        <v>579</v>
      </c>
      <c r="B432" s="1" t="s">
        <v>676</v>
      </c>
      <c r="C432" s="1" t="s">
        <v>677</v>
      </c>
      <c r="D432" s="1" t="s">
        <v>1388</v>
      </c>
      <c r="E432" s="76" t="s">
        <v>587</v>
      </c>
      <c r="G432" s="2" t="str">
        <f>HYPERLINK(CONCATENATE(TabelleURL!$B$1,"332_ADIF/332DB01.pdf"), "332DB01KA")</f>
        <v>332DB01KA</v>
      </c>
      <c r="I432" s="2" t="str">
        <f>HYPERLINK(CONCATENATE(TabelleURL!$B$1,"342_ADIF/342DB01ZI.pdf"), "342DB01/0/ZI")</f>
        <v>342DB01/0/ZI</v>
      </c>
      <c r="M432" s="5" t="str">
        <f>HYPERLINK(CONCATENATE(TabelleURL!$B$1,"345_Signalbox/3450250.pdf"), "3450250")</f>
        <v>3450250</v>
      </c>
      <c r="Q432" s="61" t="str">
        <f>HYPERLINK(CONCATENATE(TabelleURL!$B$1,"345_Signalbox/3450301.pdf"), "3450301")</f>
        <v>3450301</v>
      </c>
      <c r="R432" s="66" t="s">
        <v>11</v>
      </c>
      <c r="S432" s="67" t="str">
        <f>HYPERLINK(CONCATENATE(TabelleURL!$B$1,"347_URI/3474721.pdf"), "B-3474724")</f>
        <v>B-3474724</v>
      </c>
      <c r="T432" s="63">
        <v>3474721</v>
      </c>
      <c r="U432" s="5" t="s">
        <v>588</v>
      </c>
      <c r="W432" s="5"/>
      <c r="X432" s="17"/>
      <c r="Y432" s="8"/>
      <c r="AC432" s="18"/>
      <c r="AF432" s="8" t="str">
        <f>HYPERLINK(CONCATENATE(TabelleURL!$B$1,"340_Helfer/3404700.pdf"), "B-3404700")</f>
        <v>B-3404700</v>
      </c>
      <c r="AG432" s="2"/>
      <c r="AH432" s="4" t="str">
        <f>HYPERLINK(CONCATENATE(TabelleURL!$B$1,"346_CAN2com/3475821.pdf"), "3475821")</f>
        <v>3475821</v>
      </c>
      <c r="AI432" s="5" t="str">
        <f>HYPERLINK(CONCATENATE(TabelleURL!$B$1,"3499_Taxi/34990054.pdf"), "34990054")</f>
        <v>34990054</v>
      </c>
      <c r="AM432" s="7">
        <v>3450033</v>
      </c>
      <c r="AR432" s="3" t="s">
        <v>679</v>
      </c>
    </row>
    <row r="433" spans="1:46" ht="22.5">
      <c r="A433" s="1" t="s">
        <v>579</v>
      </c>
      <c r="B433" s="1" t="s">
        <v>676</v>
      </c>
      <c r="C433" s="1" t="s">
        <v>677</v>
      </c>
      <c r="D433" s="1" t="s">
        <v>1388</v>
      </c>
      <c r="E433" s="76" t="s">
        <v>589</v>
      </c>
      <c r="G433" s="2" t="str">
        <f>HYPERLINK(CONCATENATE(TabelleURL!$B$1,"332_ADIF/332DB01.pdf"), "332DB01KA")</f>
        <v>332DB01KA</v>
      </c>
      <c r="I433" s="2" t="str">
        <f>HYPERLINK(CONCATENATE(TabelleURL!$B$1,"342_ADIF/342DB01ZI.pdf"), "342DB01/0/ZI")</f>
        <v>342DB01/0/ZI</v>
      </c>
      <c r="M433" s="5" t="str">
        <f>HYPERLINK(CONCATENATE(TabelleURL!$B$1,"345_Signalbox/3450250.pdf"), "3450250")</f>
        <v>3450250</v>
      </c>
      <c r="Q433" s="61" t="str">
        <f>HYPERLINK(CONCATENATE(TabelleURL!$B$1,"345_Signalbox/3450301.pdf"), "3450301")</f>
        <v>3450301</v>
      </c>
      <c r="R433" s="66" t="s">
        <v>11</v>
      </c>
      <c r="S433" s="67" t="str">
        <f>HYPERLINK(CONCATENATE(TabelleURL!$B$1,"347_URI/3474721.pdf"), "B-3474723")</f>
        <v>B-3474723</v>
      </c>
      <c r="T433" s="63">
        <v>3474721</v>
      </c>
      <c r="U433" s="5" t="s">
        <v>590</v>
      </c>
      <c r="W433" s="5"/>
      <c r="X433" s="17"/>
      <c r="Y433" s="8"/>
      <c r="AC433" s="18"/>
      <c r="AF433" s="8" t="str">
        <f>HYPERLINK(CONCATENATE(TabelleURL!$B$1,"340_Helfer/3404700.pdf"), "B-3404700")</f>
        <v>B-3404700</v>
      </c>
      <c r="AG433" s="2"/>
      <c r="AH433" s="4" t="str">
        <f>HYPERLINK(CONCATENATE(TabelleURL!$B$1,"346_CAN2com/3475821.pdf"), "3475821")</f>
        <v>3475821</v>
      </c>
      <c r="AI433" s="5" t="str">
        <f>HYPERLINK(CONCATENATE(TabelleURL!$B$1,"3499_Taxi/34990054.pdf"), "34990054")</f>
        <v>34990054</v>
      </c>
      <c r="AM433" s="7">
        <v>3450033</v>
      </c>
      <c r="AR433" s="3" t="s">
        <v>679</v>
      </c>
    </row>
    <row r="434" spans="1:46">
      <c r="A434" s="1" t="s">
        <v>579</v>
      </c>
      <c r="B434" s="1" t="s">
        <v>1387</v>
      </c>
      <c r="D434" s="82" t="s">
        <v>1389</v>
      </c>
      <c r="T434" s="63"/>
      <c r="U434" s="5"/>
      <c r="W434" s="5"/>
      <c r="X434" s="17"/>
      <c r="Y434" s="8"/>
      <c r="AC434" s="18"/>
      <c r="AG434" s="2"/>
    </row>
    <row r="435" spans="1:46">
      <c r="A435" s="1" t="s">
        <v>579</v>
      </c>
      <c r="B435" s="1" t="s">
        <v>680</v>
      </c>
      <c r="C435" s="1" t="s">
        <v>681</v>
      </c>
      <c r="D435" s="1" t="s">
        <v>332</v>
      </c>
      <c r="E435" s="76" t="s">
        <v>583</v>
      </c>
      <c r="G435" s="2" t="str">
        <f>HYPERLINK(CONCATENATE(TabelleURL!$B$1,"332_ADIF/332DB01.pdf"), "332DB01KA")</f>
        <v>332DB01KA</v>
      </c>
      <c r="I435" s="2" t="str">
        <f>HYPERLINK(CONCATENATE(TabelleURL!$B$1,"342_ADIF/342DB01ZI.pdf"), "342DB01/0/ZI")</f>
        <v>342DB01/0/ZI</v>
      </c>
      <c r="M435" s="5" t="str">
        <f>HYPERLINK(CONCATENATE(TabelleURL!$B$1,"345_Signalbox/3450253.pdf"), "3450253")</f>
        <v>3450253</v>
      </c>
      <c r="R435" s="66" t="s">
        <v>11</v>
      </c>
      <c r="S435" s="67" t="str">
        <f>HYPERLINK(CONCATENATE(TabelleURL!$B$1,"347_URI/3474721.pdf"), "B-3474721")</f>
        <v>B-3474721</v>
      </c>
      <c r="T435" s="63">
        <v>3474721</v>
      </c>
      <c r="U435" s="5" t="s">
        <v>584</v>
      </c>
      <c r="W435" s="5"/>
      <c r="X435" s="17"/>
      <c r="Y435" s="8"/>
      <c r="AC435" s="18"/>
      <c r="AF435" s="8" t="str">
        <f>HYPERLINK(CONCATENATE(TabelleURL!$B$1,"340_Helfer/3404700.pdf"), "B-3404700")</f>
        <v>B-3404700</v>
      </c>
      <c r="AH435" s="4" t="str">
        <f>HYPERLINK(CONCATENATE(TabelleURL!$B$1,"346_CAN2com/3475821.pdf"), "3475821")</f>
        <v>3475821</v>
      </c>
      <c r="AI435" s="5" t="str">
        <f>HYPERLINK(CONCATENATE(TabelleURL!$B$1,"3499_Taxi/34990012.pdf"), "34990012")</f>
        <v>34990012</v>
      </c>
      <c r="AR435" s="3" t="s">
        <v>682</v>
      </c>
    </row>
    <row r="436" spans="1:46">
      <c r="A436" s="1" t="s">
        <v>579</v>
      </c>
      <c r="B436" s="1" t="s">
        <v>680</v>
      </c>
      <c r="C436" s="1" t="s">
        <v>681</v>
      </c>
      <c r="D436" s="1" t="s">
        <v>332</v>
      </c>
      <c r="E436" s="76" t="s">
        <v>585</v>
      </c>
      <c r="G436" s="2" t="str">
        <f>HYPERLINK(CONCATENATE(TabelleURL!$B$1,"332_ADIF/332DB01.pdf"), "332DB01KA")</f>
        <v>332DB01KA</v>
      </c>
      <c r="I436" s="2" t="str">
        <f>HYPERLINK(CONCATENATE(TabelleURL!$B$1,"342_ADIF/342DB01ZI.pdf"), "342DB01/0/ZI")</f>
        <v>342DB01/0/ZI</v>
      </c>
      <c r="M436" s="5" t="str">
        <f>HYPERLINK(CONCATENATE(TabelleURL!$B$1,"345_Signalbox/3450253.pdf"), "3450253")</f>
        <v>3450253</v>
      </c>
      <c r="R436" s="66" t="s">
        <v>11</v>
      </c>
      <c r="S436" s="67" t="str">
        <f>HYPERLINK(CONCATENATE(TabelleURL!$B$1,"347_URI/3474721.pdf"), "B-3474722")</f>
        <v>B-3474722</v>
      </c>
      <c r="T436" s="63">
        <v>3474721</v>
      </c>
      <c r="U436" s="5" t="s">
        <v>586</v>
      </c>
      <c r="W436" s="5"/>
      <c r="X436" s="17"/>
      <c r="Y436" s="8"/>
      <c r="AC436" s="18"/>
      <c r="AF436" s="8" t="str">
        <f>HYPERLINK(CONCATENATE(TabelleURL!$B$1,"340_Helfer/3404700.pdf"), "B-3404700")</f>
        <v>B-3404700</v>
      </c>
      <c r="AH436" s="4" t="str">
        <f>HYPERLINK(CONCATENATE(TabelleURL!$B$1,"346_CAN2com/3475821.pdf"), "3475821")</f>
        <v>3475821</v>
      </c>
      <c r="AI436" s="5" t="str">
        <f>HYPERLINK(CONCATENATE(TabelleURL!$B$1,"3499_Taxi/34990012.pdf"), "34990012")</f>
        <v>34990012</v>
      </c>
      <c r="AR436" s="3" t="s">
        <v>682</v>
      </c>
    </row>
    <row r="437" spans="1:46" ht="22.5">
      <c r="A437" s="1" t="s">
        <v>579</v>
      </c>
      <c r="B437" s="1" t="s">
        <v>680</v>
      </c>
      <c r="C437" s="1" t="s">
        <v>681</v>
      </c>
      <c r="D437" s="1" t="s">
        <v>332</v>
      </c>
      <c r="E437" s="76" t="s">
        <v>587</v>
      </c>
      <c r="G437" s="2" t="str">
        <f>HYPERLINK(CONCATENATE(TabelleURL!$B$1,"332_ADIF/332DB01.pdf"), "332DB01KA")</f>
        <v>332DB01KA</v>
      </c>
      <c r="I437" s="2" t="str">
        <f>HYPERLINK(CONCATENATE(TabelleURL!$B$1,"342_ADIF/342DB01ZI.pdf"), "342DB01/0/ZI")</f>
        <v>342DB01/0/ZI</v>
      </c>
      <c r="M437" s="5" t="str">
        <f>HYPERLINK(CONCATENATE(TabelleURL!$B$1,"345_Signalbox/3450253.pdf"), "3450253")</f>
        <v>3450253</v>
      </c>
      <c r="R437" s="66" t="s">
        <v>11</v>
      </c>
      <c r="S437" s="67" t="str">
        <f>HYPERLINK(CONCATENATE(TabelleURL!$B$1,"347_URI/3474721.pdf"), "B-3474724")</f>
        <v>B-3474724</v>
      </c>
      <c r="T437" s="63">
        <v>3474721</v>
      </c>
      <c r="U437" s="5" t="s">
        <v>588</v>
      </c>
      <c r="W437" s="5"/>
      <c r="X437" s="17"/>
      <c r="Y437" s="8"/>
      <c r="AC437" s="18"/>
      <c r="AF437" s="8" t="str">
        <f>HYPERLINK(CONCATENATE(TabelleURL!$B$1,"340_Helfer/3404700.pdf"), "B-3404700")</f>
        <v>B-3404700</v>
      </c>
      <c r="AH437" s="4" t="str">
        <f>HYPERLINK(CONCATENATE(TabelleURL!$B$1,"346_CAN2com/3475821.pdf"), "3475821")</f>
        <v>3475821</v>
      </c>
      <c r="AI437" s="5" t="str">
        <f>HYPERLINK(CONCATENATE(TabelleURL!$B$1,"3499_Taxi/34990012.pdf"), "34990012")</f>
        <v>34990012</v>
      </c>
      <c r="AR437" s="3" t="s">
        <v>682</v>
      </c>
    </row>
    <row r="438" spans="1:46" ht="22.5">
      <c r="A438" s="1" t="s">
        <v>579</v>
      </c>
      <c r="B438" s="1" t="s">
        <v>680</v>
      </c>
      <c r="C438" s="1" t="s">
        <v>681</v>
      </c>
      <c r="D438" s="1" t="s">
        <v>332</v>
      </c>
      <c r="E438" s="76" t="s">
        <v>589</v>
      </c>
      <c r="G438" s="2" t="str">
        <f>HYPERLINK(CONCATENATE(TabelleURL!$B$1,"332_ADIF/332DB01.pdf"), "332DB01KA")</f>
        <v>332DB01KA</v>
      </c>
      <c r="I438" s="2" t="str">
        <f>HYPERLINK(CONCATENATE(TabelleURL!$B$1,"342_ADIF/342DB01ZI.pdf"), "342DB01/0/ZI")</f>
        <v>342DB01/0/ZI</v>
      </c>
      <c r="M438" s="5" t="str">
        <f>HYPERLINK(CONCATENATE(TabelleURL!$B$1,"345_Signalbox/3450253.pdf"), "3450253")</f>
        <v>3450253</v>
      </c>
      <c r="R438" s="66" t="s">
        <v>11</v>
      </c>
      <c r="S438" s="67" t="str">
        <f>HYPERLINK(CONCATENATE(TabelleURL!$B$1,"347_URI/3474721.pdf"), "B-3474723")</f>
        <v>B-3474723</v>
      </c>
      <c r="T438" s="63">
        <v>3474721</v>
      </c>
      <c r="U438" s="5" t="s">
        <v>590</v>
      </c>
      <c r="W438" s="5"/>
      <c r="X438" s="17"/>
      <c r="Y438" s="8"/>
      <c r="AC438" s="18"/>
      <c r="AF438" s="8" t="str">
        <f>HYPERLINK(CONCATENATE(TabelleURL!$B$1,"340_Helfer/3404700.pdf"), "B-3404700")</f>
        <v>B-3404700</v>
      </c>
      <c r="AH438" s="4" t="str">
        <f>HYPERLINK(CONCATENATE(TabelleURL!$B$1,"346_CAN2com/3475821.pdf"), "3475821")</f>
        <v>3475821</v>
      </c>
      <c r="AI438" s="5" t="str">
        <f>HYPERLINK(CONCATENATE(TabelleURL!$B$1,"3499_Taxi/34990012.pdf"), "34990012")</f>
        <v>34990012</v>
      </c>
      <c r="AR438" s="3" t="s">
        <v>682</v>
      </c>
    </row>
    <row r="439" spans="1:46">
      <c r="A439" s="1" t="s">
        <v>579</v>
      </c>
      <c r="B439" s="1" t="s">
        <v>683</v>
      </c>
      <c r="C439" s="1" t="s">
        <v>681</v>
      </c>
      <c r="D439" s="1" t="s">
        <v>332</v>
      </c>
      <c r="E439" s="76" t="s">
        <v>585</v>
      </c>
      <c r="G439" s="2" t="str">
        <f>HYPERLINK(CONCATENATE(TabelleURL!$B$1,"332_ADIF/332DB01.pdf"), "332DB01KA")</f>
        <v>332DB01KA</v>
      </c>
      <c r="I439" s="2" t="str">
        <f>HYPERLINK(CONCATENATE(TabelleURL!$B$1,"342_ADIF/342DB01ZI.pdf"), "342DB01/0/ZI")</f>
        <v>342DB01/0/ZI</v>
      </c>
      <c r="M439" s="5" t="str">
        <f>HYPERLINK(CONCATENATE(TabelleURL!$B$1,"345_Signalbox/3450253.pdf"), "3450253")</f>
        <v>3450253</v>
      </c>
      <c r="R439" s="66" t="s">
        <v>684</v>
      </c>
      <c r="S439" s="67" t="str">
        <f>HYPERLINK(CONCATENATE(TabelleURL!$B$1,"347_URI/3474721.pdf"), "B-3474722")</f>
        <v>B-3474722</v>
      </c>
      <c r="T439" s="63">
        <v>3474721</v>
      </c>
      <c r="U439" s="5" t="s">
        <v>586</v>
      </c>
      <c r="W439" s="5"/>
      <c r="X439" s="17"/>
      <c r="Y439" s="8"/>
      <c r="AC439" s="18"/>
      <c r="AF439" s="8" t="str">
        <f>HYPERLINK(CONCATENATE(TabelleURL!$B$1,"340_Helfer/3404700.pdf"), "B-3404700")</f>
        <v>B-3404700</v>
      </c>
      <c r="AH439" s="4" t="str">
        <f>HYPERLINK(CONCATENATE(TabelleURL!$B$1,"346_CAN2com/3475821.pdf"), "3475821")</f>
        <v>3475821</v>
      </c>
      <c r="AI439" s="5" t="str">
        <f>HYPERLINK(CONCATENATE(TabelleURL!$B$1,"3499_Taxi/34990012.pdf"), "34990012")</f>
        <v>34990012</v>
      </c>
      <c r="AR439" s="3" t="s">
        <v>682</v>
      </c>
    </row>
    <row r="440" spans="1:46">
      <c r="A440" s="1" t="s">
        <v>579</v>
      </c>
      <c r="B440" s="1" t="s">
        <v>683</v>
      </c>
      <c r="C440" s="1" t="s">
        <v>681</v>
      </c>
      <c r="D440" s="1" t="s">
        <v>332</v>
      </c>
      <c r="E440" s="76" t="s">
        <v>583</v>
      </c>
      <c r="G440" s="2" t="str">
        <f>HYPERLINK(CONCATENATE(TabelleURL!$B$1,"332_ADIF/332DB01.pdf"), "332DB01KA")</f>
        <v>332DB01KA</v>
      </c>
      <c r="I440" s="2" t="str">
        <f>HYPERLINK(CONCATENATE(TabelleURL!$B$1,"342_ADIF/342DB01ZI.pdf"), "342DB01/0/ZI")</f>
        <v>342DB01/0/ZI</v>
      </c>
      <c r="M440" s="5" t="str">
        <f>HYPERLINK(CONCATENATE(TabelleURL!$B$1,"345_Signalbox/3450253.pdf"), "3450253")</f>
        <v>3450253</v>
      </c>
      <c r="R440" s="66" t="s">
        <v>684</v>
      </c>
      <c r="S440" s="67" t="str">
        <f>HYPERLINK(CONCATENATE(TabelleURL!$B$1,"347_URI/3474721.pdf"), "B-3474721")</f>
        <v>B-3474721</v>
      </c>
      <c r="T440" s="63">
        <v>3474721</v>
      </c>
      <c r="U440" s="5" t="s">
        <v>584</v>
      </c>
      <c r="W440" s="5"/>
      <c r="X440" s="17"/>
      <c r="Y440" s="8"/>
      <c r="AC440" s="18"/>
      <c r="AF440" s="8" t="str">
        <f>HYPERLINK(CONCATENATE(TabelleURL!$B$1,"340_Helfer/3404700.pdf"), "B-3404700")</f>
        <v>B-3404700</v>
      </c>
      <c r="AH440" s="4" t="str">
        <f>HYPERLINK(CONCATENATE(TabelleURL!$B$1,"346_CAN2com/3475821.pdf"), "3475821")</f>
        <v>3475821</v>
      </c>
      <c r="AI440" s="5" t="str">
        <f>HYPERLINK(CONCATENATE(TabelleURL!$B$1,"3499_Taxi/34990012.pdf"), "34990012")</f>
        <v>34990012</v>
      </c>
      <c r="AR440" s="3" t="s">
        <v>682</v>
      </c>
    </row>
    <row r="441" spans="1:46" ht="22.5">
      <c r="A441" s="1" t="s">
        <v>579</v>
      </c>
      <c r="B441" s="1" t="s">
        <v>683</v>
      </c>
      <c r="C441" s="1" t="s">
        <v>681</v>
      </c>
      <c r="D441" s="1" t="s">
        <v>332</v>
      </c>
      <c r="E441" s="76" t="s">
        <v>587</v>
      </c>
      <c r="G441" s="2" t="str">
        <f>HYPERLINK(CONCATENATE(TabelleURL!$B$1,"332_ADIF/332DB01.pdf"), "332DB01KA")</f>
        <v>332DB01KA</v>
      </c>
      <c r="I441" s="2" t="str">
        <f>HYPERLINK(CONCATENATE(TabelleURL!$B$1,"342_ADIF/342DB01ZI.pdf"), "342DB01/0/ZI")</f>
        <v>342DB01/0/ZI</v>
      </c>
      <c r="M441" s="5" t="str">
        <f>HYPERLINK(CONCATENATE(TabelleURL!$B$1,"345_Signalbox/3450253.pdf"), "3450253")</f>
        <v>3450253</v>
      </c>
      <c r="R441" s="66" t="s">
        <v>684</v>
      </c>
      <c r="S441" s="67" t="str">
        <f>HYPERLINK(CONCATENATE(TabelleURL!$B$1,"347_URI/3474721.pdf"), "B-3474724")</f>
        <v>B-3474724</v>
      </c>
      <c r="T441" s="63">
        <v>3470010</v>
      </c>
      <c r="U441" s="5" t="s">
        <v>588</v>
      </c>
      <c r="W441" s="5"/>
      <c r="X441" s="17"/>
      <c r="Y441" s="8"/>
      <c r="AC441" s="18"/>
      <c r="AF441" s="8" t="str">
        <f>HYPERLINK(CONCATENATE(TabelleURL!$B$1,"340_Helfer/3404700.pdf"), "B-3404700")</f>
        <v>B-3404700</v>
      </c>
      <c r="AH441" s="4" t="str">
        <f>HYPERLINK(CONCATENATE(TabelleURL!$B$1,"346_CAN2com/3475821.pdf"), "3475821")</f>
        <v>3475821</v>
      </c>
      <c r="AI441" s="5" t="str">
        <f>HYPERLINK(CONCATENATE(TabelleURL!$B$1,"3499_Taxi/34990012.pdf"), "34990012")</f>
        <v>34990012</v>
      </c>
      <c r="AR441" s="3" t="s">
        <v>682</v>
      </c>
    </row>
    <row r="442" spans="1:46" ht="22.5">
      <c r="A442" s="1" t="s">
        <v>579</v>
      </c>
      <c r="B442" s="1" t="s">
        <v>683</v>
      </c>
      <c r="C442" s="1" t="s">
        <v>681</v>
      </c>
      <c r="D442" s="1" t="s">
        <v>332</v>
      </c>
      <c r="E442" s="76" t="s">
        <v>589</v>
      </c>
      <c r="G442" s="2" t="str">
        <f>HYPERLINK(CONCATENATE(TabelleURL!$B$1,"332_ADIF/332DB01.pdf"), "332DB01KA")</f>
        <v>332DB01KA</v>
      </c>
      <c r="I442" s="2" t="str">
        <f>HYPERLINK(CONCATENATE(TabelleURL!$B$1,"342_ADIF/342DB01ZI.pdf"), "342DB01/0/ZI")</f>
        <v>342DB01/0/ZI</v>
      </c>
      <c r="M442" s="5" t="str">
        <f>HYPERLINK(CONCATENATE(TabelleURL!$B$1,"345_Signalbox/3450253.pdf"), "3450253")</f>
        <v>3450253</v>
      </c>
      <c r="R442" s="66" t="s">
        <v>11</v>
      </c>
      <c r="S442" s="67" t="str">
        <f>HYPERLINK(CONCATENATE(TabelleURL!$B$1,"347_URI/3474721.pdf"), "B-3474723")</f>
        <v>B-3474723</v>
      </c>
      <c r="T442" s="63">
        <v>3474721</v>
      </c>
      <c r="U442" s="5" t="s">
        <v>590</v>
      </c>
      <c r="W442" s="5"/>
      <c r="X442" s="17"/>
      <c r="Y442" s="8"/>
      <c r="AC442" s="18"/>
      <c r="AF442" s="8" t="str">
        <f>HYPERLINK(CONCATENATE(TabelleURL!$B$1,"340_Helfer/3404700.pdf"), "B-3404700")</f>
        <v>B-3404700</v>
      </c>
      <c r="AH442" s="4" t="str">
        <f>HYPERLINK(CONCATENATE(TabelleURL!$B$1,"346_CAN2com/3475821.pdf"), "3475821")</f>
        <v>3475821</v>
      </c>
      <c r="AI442" s="5" t="str">
        <f>HYPERLINK(CONCATENATE(TabelleURL!$B$1,"3499_Taxi/34990012.pdf"), "34990012")</f>
        <v>34990012</v>
      </c>
      <c r="AR442" s="3" t="s">
        <v>682</v>
      </c>
    </row>
    <row r="443" spans="1:46">
      <c r="A443" s="1" t="s">
        <v>579</v>
      </c>
      <c r="B443" s="1" t="s">
        <v>683</v>
      </c>
      <c r="C443" s="1" t="s">
        <v>685</v>
      </c>
      <c r="D443" s="1" t="s">
        <v>116</v>
      </c>
      <c r="E443" s="76" t="s">
        <v>686</v>
      </c>
      <c r="G443" s="2" t="str">
        <f>HYPERLINK(CONCATENATE(TabelleURL!$B$1,"332_ADIF/332DB05.pdf"), "332DB05KA")</f>
        <v>332DB05KA</v>
      </c>
      <c r="I443" s="2" t="str">
        <f>HYPERLINK(CONCATENATE(TabelleURL!$B$1,"332_ADIF/332DB05ZI.pdf"), "332DB05/0/ZI")</f>
        <v>332DB05/0/ZI</v>
      </c>
      <c r="P443" s="5" t="str">
        <f>HYPERLINK(CONCATENATE(TabelleURL!$B$1,"345_Signalbox/3450289-W.pdf"), "3450289-W")</f>
        <v>3450289-W</v>
      </c>
      <c r="Q443" s="61" t="str">
        <f>HYPERLINK(CONCATENATE(TabelleURL!$B$1,"345_Signalbox/3450301.pdf"), "3450301")</f>
        <v>3450301</v>
      </c>
      <c r="R443" s="66" t="s">
        <v>11</v>
      </c>
      <c r="S443" s="67" t="str">
        <f>HYPERLINK(CONCATENATE(TabelleURL!$B$1,"344_URI2/3444723.pdf"), "B-3444723")</f>
        <v>B-3444723</v>
      </c>
      <c r="T443" s="63"/>
      <c r="U443" s="5"/>
      <c r="V443" s="4" t="str">
        <f>HYPERLINK(CONCATENATE(TabelleURL!$B$1,"344_URI2/3444723.pdf"), "B-3444723")</f>
        <v>B-3444723</v>
      </c>
      <c r="W443" s="5"/>
      <c r="X443" s="17"/>
      <c r="Y443" s="8"/>
      <c r="AC443" s="18"/>
      <c r="AI443" s="5" t="str">
        <f>HYPERLINK(CONCATENATE(TabelleURL!$B$1,"3499_Taxi/34990085.pdf"), "34990085")</f>
        <v>34990085</v>
      </c>
      <c r="AT443" s="2" t="str">
        <f>HYPERLINK(CONCATENATE(TabelleURL!$B$1,"340_Helfer/3406821.pdf"), "B-3406821")</f>
        <v>B-3406821</v>
      </c>
    </row>
    <row r="444" spans="1:46" ht="22.5">
      <c r="A444" s="1" t="s">
        <v>579</v>
      </c>
      <c r="B444" s="1" t="s">
        <v>683</v>
      </c>
      <c r="C444" s="1" t="s">
        <v>685</v>
      </c>
      <c r="D444" s="1" t="s">
        <v>116</v>
      </c>
      <c r="E444" s="76" t="s">
        <v>687</v>
      </c>
      <c r="F444" s="70" t="s">
        <v>678</v>
      </c>
      <c r="G444" s="2" t="str">
        <f>HYPERLINK(CONCATENATE(TabelleURL!$B$1,"332_ADIF/332DB05.pdf"), "332DB05KA")</f>
        <v>332DB05KA</v>
      </c>
      <c r="I444" s="2" t="str">
        <f>HYPERLINK(CONCATENATE(TabelleURL!$B$1,"332_ADIF/332DB05ZI.pdf"), "332DB05/0/ZI")</f>
        <v>332DB05/0/ZI</v>
      </c>
      <c r="P444" s="5" t="str">
        <f>HYPERLINK(CONCATENATE(TabelleURL!$B$1,"345_Signalbox/3450289-W.pdf"), "3450289-W")</f>
        <v>3450289-W</v>
      </c>
      <c r="Q444" s="61" t="str">
        <f>HYPERLINK(CONCATENATE(TabelleURL!$B$1,"345_Signalbox/3450301.pdf"), "3450301")</f>
        <v>3450301</v>
      </c>
      <c r="R444" s="66" t="s">
        <v>11</v>
      </c>
      <c r="S444" s="67" t="str">
        <f>HYPERLINK(CONCATENATE(TabelleURL!$B$1,"344_URI2/3444723.pdf"), "B-3444724")</f>
        <v>B-3444724</v>
      </c>
      <c r="T444" s="63"/>
      <c r="U444" s="5"/>
      <c r="V444" s="4" t="str">
        <f>HYPERLINK(CONCATENATE(TabelleURL!$B$1,"344_URI2/3444723.pdf"), "B-3444723")</f>
        <v>B-3444723</v>
      </c>
      <c r="W444" s="5"/>
      <c r="X444" s="17"/>
      <c r="Y444" s="8"/>
      <c r="AB444" s="2" t="s">
        <v>55</v>
      </c>
      <c r="AC444" s="18"/>
      <c r="AI444" s="5" t="str">
        <f>HYPERLINK(CONCATENATE(TabelleURL!$B$1,"3499_Taxi/34990085.pdf"), "34990085")</f>
        <v>34990085</v>
      </c>
      <c r="AT444" s="2" t="str">
        <f>HYPERLINK(CONCATENATE(TabelleURL!$B$1,"340_Helfer/3406821.pdf"), "B-3406821")</f>
        <v>B-3406821</v>
      </c>
    </row>
    <row r="445" spans="1:46">
      <c r="A445" s="1" t="s">
        <v>579</v>
      </c>
      <c r="B445" s="1" t="s">
        <v>688</v>
      </c>
      <c r="C445" s="1" t="s">
        <v>685</v>
      </c>
      <c r="D445" s="1" t="s">
        <v>116</v>
      </c>
      <c r="G445" s="2" t="str">
        <f>HYPERLINK(CONCATENATE(TabelleURL!$B$1,"332_ADIF/332DB05.pdf"), "332DB05KA")</f>
        <v>332DB05KA</v>
      </c>
      <c r="I445" s="2" t="str">
        <f>HYPERLINK(CONCATENATE(TabelleURL!$B$1,"332_ADIF/332DB05ZI.pdf"), "332DB05/0/ZI")</f>
        <v>332DB05/0/ZI</v>
      </c>
      <c r="P445" s="5" t="str">
        <f>HYPERLINK(CONCATENATE(TabelleURL!$B$1,"345_Signalbox/3450289-W.pdf"), "3450289-W")</f>
        <v>3450289-W</v>
      </c>
      <c r="R445" s="66" t="s">
        <v>11</v>
      </c>
      <c r="S445" s="67" t="str">
        <f>HYPERLINK(CONCATENATE(TabelleURL!$B$1,"344_URI2/3444723.pdf"), "B-3444723")</f>
        <v>B-3444723</v>
      </c>
      <c r="T445" s="63"/>
      <c r="U445" s="5"/>
      <c r="V445" s="4" t="str">
        <f>HYPERLINK(CONCATENATE(TabelleURL!$B$1,"344_URI2/3444723.pdf"), "B-3444723")</f>
        <v>B-3444723</v>
      </c>
      <c r="W445" s="5"/>
      <c r="X445" s="17"/>
      <c r="Y445" s="8"/>
      <c r="AC445" s="18"/>
      <c r="AI445" s="5" t="str">
        <f>HYPERLINK(CONCATENATE(TabelleURL!$B$1,"3499_Taxi/34990085.pdf"), "34990085")</f>
        <v>34990085</v>
      </c>
      <c r="AT445" s="2" t="str">
        <f>HYPERLINK(CONCATENATE(TabelleURL!$B$1,"340_Helfer/3406822.pdf"), "B-3406822")</f>
        <v>B-3406822</v>
      </c>
    </row>
    <row r="446" spans="1:46">
      <c r="A446" s="1" t="s">
        <v>689</v>
      </c>
      <c r="B446" s="1" t="s">
        <v>690</v>
      </c>
      <c r="C446" s="1" t="s">
        <v>225</v>
      </c>
      <c r="D446" s="1" t="s">
        <v>8</v>
      </c>
      <c r="G446" s="2" t="str">
        <f>HYPERLINK(CONCATENATE(TabelleURL!$B$1,"342_ADIF/342BM01.pdf"), "342BM01/0/KA")</f>
        <v>342BM01/0/KA</v>
      </c>
      <c r="M446" s="5" t="str">
        <f>HYPERLINK(CONCATENATE(TabelleURL!$B$1,"345_Signalbox/3450259.pdf"), "3450259")</f>
        <v>3450259</v>
      </c>
      <c r="O446" s="5" t="str">
        <f>HYPERLINK(CONCATENATE(TabelleURL!$B$1,"345_Signalbox/3450259-V.pdf"), "3450259-V")</f>
        <v>3450259-V</v>
      </c>
      <c r="P446" s="5" t="str">
        <f>HYPERLINK(CONCATENATE(TabelleURL!$B$1,"345_Signalbox/3450259-W.pdf"), "3450259-W")</f>
        <v>3450259-W</v>
      </c>
      <c r="R446" s="66" t="s">
        <v>11</v>
      </c>
      <c r="S446" s="67" t="s">
        <v>126</v>
      </c>
      <c r="T446" s="63">
        <v>3470005</v>
      </c>
      <c r="U446" s="5" t="s">
        <v>125</v>
      </c>
      <c r="W446" s="5"/>
      <c r="X446" s="17" t="s">
        <v>11</v>
      </c>
      <c r="Y446" s="8" t="s">
        <v>126</v>
      </c>
      <c r="AC446" s="18"/>
      <c r="AF446" s="8" t="str">
        <f>HYPERLINK(CONCATENATE(TabelleURL!$B$1,"340_Helfer/3404700.pdf"), "B-3404700")</f>
        <v>B-3404700</v>
      </c>
      <c r="AG446" s="2" t="str">
        <f>HYPERLINK(CONCATENATE(TabelleURL!$B$1,"340_Helfer/3404701.pdf"), "3404701")</f>
        <v>3404701</v>
      </c>
      <c r="AL446" s="3" t="s">
        <v>7</v>
      </c>
      <c r="AN446" s="2" t="str">
        <f>HYPERLINK(CONCATENATE(TabelleURL!$B$1,"350_RICI_PDC_OBI/3500031 OBI Alfa BMW Fiat Merc Opel VW D_E.pdf"), "3500031")</f>
        <v>3500031</v>
      </c>
    </row>
    <row r="447" spans="1:46">
      <c r="A447" s="1" t="s">
        <v>689</v>
      </c>
      <c r="B447" s="1" t="s">
        <v>691</v>
      </c>
      <c r="C447" s="1" t="s">
        <v>258</v>
      </c>
      <c r="D447" s="1" t="s">
        <v>116</v>
      </c>
      <c r="G447" s="2" t="str">
        <f>HYPERLINK(CONCATENATE(TabelleURL!$B$1,"342_ADIF/342BM01.pdf"), "342BM01/0/KA")</f>
        <v>342BM01/0/KA</v>
      </c>
      <c r="M447" s="5" t="str">
        <f>HYPERLINK(CONCATENATE(TabelleURL!$B$1,"345_Signalbox/3450259.pdf"), "3450259")</f>
        <v>3450259</v>
      </c>
      <c r="O447" s="5" t="str">
        <f>HYPERLINK(CONCATENATE(TabelleURL!$B$1,"345_Signalbox/3450259-V.pdf"), "3450259-V")</f>
        <v>3450259-V</v>
      </c>
      <c r="P447" s="5" t="str">
        <f>HYPERLINK(CONCATENATE(TabelleURL!$B$1,"345_Signalbox/3450259-W.pdf"), "3450259-W")</f>
        <v>3450259-W</v>
      </c>
      <c r="T447" s="63"/>
      <c r="U447" s="5"/>
      <c r="W447" s="5"/>
      <c r="X447" s="17"/>
      <c r="Y447" s="8"/>
      <c r="AC447" s="18"/>
      <c r="AG447" s="2" t="str">
        <f>HYPERLINK(CONCATENATE(TabelleURL!$B$1,"340_Helfer/3404701.pdf"), "3404701")</f>
        <v>3404701</v>
      </c>
      <c r="AH447" s="4" t="str">
        <f>HYPERLINK(CONCATENATE(TabelleURL!$B$1,"346_CAN2com/3475812.pdf"), "3475812")</f>
        <v>3475812</v>
      </c>
    </row>
    <row r="448" spans="1:46">
      <c r="A448" s="1" t="s">
        <v>692</v>
      </c>
      <c r="B448" s="1" t="s">
        <v>693</v>
      </c>
      <c r="D448" s="1" t="s">
        <v>61</v>
      </c>
      <c r="G448" s="2" t="str">
        <f>HYPERLINK(CONCATENATE(TabelleURL!$B$1,"332_ADIF/332MI02.pdf"), "332MI02")</f>
        <v>332MI02</v>
      </c>
      <c r="J448" s="2" t="str">
        <f>HYPERLINK(CONCATENATE(TabelleURL!$B$1,"332_ADIF2/332MI02PD.pdf"), "332MI02PD")</f>
        <v>332MI02PD</v>
      </c>
      <c r="M448" s="5" t="str">
        <f>HYPERLINK(CONCATENATE(TabelleURL!$B$1,"345_Signalbox/3450260.pdf"), "3450260")</f>
        <v>3450260</v>
      </c>
      <c r="T448" s="63"/>
      <c r="U448" s="5"/>
      <c r="W448" s="5"/>
      <c r="X448" s="17"/>
      <c r="Y448" s="8"/>
      <c r="AC448" s="18"/>
    </row>
    <row r="449" spans="1:47">
      <c r="A449" s="1" t="s">
        <v>692</v>
      </c>
      <c r="B449" s="1" t="s">
        <v>694</v>
      </c>
      <c r="C449" s="1" t="s">
        <v>695</v>
      </c>
      <c r="D449" s="1" t="s">
        <v>1384</v>
      </c>
      <c r="G449" s="2" t="str">
        <f>HYPERLINK(CONCATENATE(TabelleURL!$B$1,"332_ADIF/332MI01.pdf"), "332MI01KA")</f>
        <v>332MI01KA</v>
      </c>
      <c r="T449" s="63"/>
      <c r="U449" s="5"/>
      <c r="W449" s="5"/>
      <c r="X449" s="17"/>
      <c r="Y449" s="8"/>
      <c r="AC449" s="18"/>
    </row>
    <row r="450" spans="1:47">
      <c r="A450" s="1" t="s">
        <v>692</v>
      </c>
      <c r="B450" s="1" t="s">
        <v>694</v>
      </c>
      <c r="D450" s="82" t="s">
        <v>73</v>
      </c>
      <c r="P450" s="5" t="str">
        <f>HYPERLINK(CONCATENATE(TabelleURL!$B$1,"345_Signalbox/3450296-W.pdf"), "3450296-W")</f>
        <v>3450296-W</v>
      </c>
      <c r="T450" s="63"/>
      <c r="U450" s="5"/>
      <c r="W450" s="5"/>
      <c r="X450" s="17"/>
      <c r="Y450" s="8"/>
      <c r="AC450" s="18"/>
    </row>
    <row r="451" spans="1:47">
      <c r="A451" s="1" t="s">
        <v>692</v>
      </c>
      <c r="B451" s="1" t="s">
        <v>696</v>
      </c>
      <c r="C451" s="1" t="s">
        <v>697</v>
      </c>
      <c r="D451" s="1" t="s">
        <v>251</v>
      </c>
      <c r="T451" s="63"/>
      <c r="U451" s="5"/>
      <c r="W451" s="5"/>
      <c r="X451" s="17"/>
      <c r="Y451" s="8"/>
      <c r="AC451" s="18"/>
    </row>
    <row r="452" spans="1:47">
      <c r="A452" s="1" t="s">
        <v>692</v>
      </c>
      <c r="B452" s="1" t="s">
        <v>698</v>
      </c>
      <c r="C452" s="1" t="s">
        <v>699</v>
      </c>
      <c r="D452" s="1" t="s">
        <v>114</v>
      </c>
      <c r="G452" s="2" t="str">
        <f>HYPERLINK(CONCATENATE(TabelleURL!$B$1,"332_ADIF/332MI02.pdf"), "332MI02")</f>
        <v>332MI02</v>
      </c>
      <c r="J452" s="2" t="str">
        <f>HYPERLINK(CONCATENATE(TabelleURL!$B$1,"342_ADIF/342MI02PD.pdf"), "342MI02PD")</f>
        <v>342MI02PD</v>
      </c>
      <c r="M452" s="5" t="str">
        <f>HYPERLINK(CONCATENATE(TabelleURL!$B$1,"345_Signalbox/3450260.pdf"), "3450260")</f>
        <v>3450260</v>
      </c>
      <c r="T452" s="63"/>
      <c r="U452" s="5"/>
      <c r="W452" s="5"/>
      <c r="X452" s="17"/>
      <c r="Y452" s="8"/>
      <c r="AC452" s="18"/>
    </row>
    <row r="453" spans="1:47" s="22" customFormat="1">
      <c r="A453" s="19" t="s">
        <v>692</v>
      </c>
      <c r="B453" s="19" t="s">
        <v>698</v>
      </c>
      <c r="C453" s="19" t="s">
        <v>700</v>
      </c>
      <c r="D453" s="19" t="s">
        <v>61</v>
      </c>
      <c r="E453" s="77"/>
      <c r="F453" s="71"/>
      <c r="G453" s="2"/>
      <c r="H453" s="2"/>
      <c r="I453" s="2"/>
      <c r="J453" s="2"/>
      <c r="K453" s="3"/>
      <c r="L453" s="4"/>
      <c r="M453" s="5"/>
      <c r="N453" s="5"/>
      <c r="O453" s="5"/>
      <c r="P453" s="5"/>
      <c r="Q453" s="61"/>
      <c r="R453" s="66"/>
      <c r="S453" s="67"/>
      <c r="T453" s="63"/>
      <c r="U453" s="5"/>
      <c r="V453" s="4"/>
      <c r="W453" s="5"/>
      <c r="X453" s="17"/>
      <c r="Y453" s="8"/>
      <c r="Z453" s="2"/>
      <c r="AA453" s="4"/>
      <c r="AB453" s="2"/>
      <c r="AC453" s="17"/>
      <c r="AD453" s="8"/>
      <c r="AE453" s="2"/>
      <c r="AF453" s="8"/>
      <c r="AG453" s="5"/>
      <c r="AH453" s="4"/>
      <c r="AI453" s="5"/>
      <c r="AJ453" s="5"/>
      <c r="AK453" s="5"/>
      <c r="AL453" s="5"/>
      <c r="AM453" s="8"/>
      <c r="AN453" s="2"/>
      <c r="AO453" s="8"/>
      <c r="AP453" s="9"/>
      <c r="AQ453" s="8"/>
      <c r="AR453" s="5"/>
      <c r="AS453" s="21"/>
      <c r="AT453" s="9"/>
      <c r="AU453" s="8"/>
    </row>
    <row r="454" spans="1:47">
      <c r="A454" s="1" t="s">
        <v>692</v>
      </c>
      <c r="B454" s="1" t="s">
        <v>701</v>
      </c>
      <c r="C454" s="1" t="s">
        <v>702</v>
      </c>
      <c r="D454" s="1" t="s">
        <v>114</v>
      </c>
      <c r="G454" s="2" t="str">
        <f>HYPERLINK(CONCATENATE(TabelleURL!$B$1,"332_ADIF/332MI01.pdf"), "332MI01KA")</f>
        <v>332MI01KA</v>
      </c>
      <c r="M454" s="9"/>
      <c r="P454" s="5" t="str">
        <f>HYPERLINK(CONCATENATE(TabelleURL!$B$1,"345_Signalbox/3450286-W.pdf"), "3450286-W")</f>
        <v>3450286-W</v>
      </c>
      <c r="T454" s="63"/>
      <c r="U454" s="5"/>
      <c r="W454" s="5"/>
      <c r="X454" s="17"/>
      <c r="Y454" s="8"/>
      <c r="AC454" s="18"/>
    </row>
    <row r="455" spans="1:47">
      <c r="A455" s="1" t="s">
        <v>692</v>
      </c>
      <c r="B455" s="1" t="s">
        <v>703</v>
      </c>
      <c r="D455" s="1" t="s">
        <v>213</v>
      </c>
      <c r="G455" s="2" t="str">
        <f>HYPERLINK(CONCATENATE(TabelleURL!$B$1,"332_ADIF/332MI03.pdf"), "332MI03KA")</f>
        <v>332MI03KA</v>
      </c>
      <c r="T455" s="63"/>
      <c r="U455" s="5"/>
      <c r="W455" s="5"/>
      <c r="X455" s="17"/>
      <c r="Y455" s="8"/>
      <c r="AC455" s="18"/>
    </row>
    <row r="456" spans="1:47">
      <c r="A456" s="1" t="s">
        <v>704</v>
      </c>
      <c r="B456" s="1" t="s">
        <v>705</v>
      </c>
      <c r="C456" s="1" t="s">
        <v>706</v>
      </c>
      <c r="D456" s="1" t="s">
        <v>29</v>
      </c>
      <c r="G456" s="2" t="str">
        <f>HYPERLINK(CONCATENATE(TabelleURL!$B$1,"332_ADIF/332MI01.pdf"), "332MI01KA")</f>
        <v>332MI01KA</v>
      </c>
      <c r="R456" s="66" t="s">
        <v>45</v>
      </c>
      <c r="S456" s="67" t="str">
        <f>HYPERLINK(CONCATENATE(TabelleURL!$B$1,"341_RC_Interface/3414772.pdf"), "B-3414772")</f>
        <v>B-3414772</v>
      </c>
      <c r="T456" s="63">
        <v>3474771</v>
      </c>
      <c r="U456" s="5" t="s">
        <v>707</v>
      </c>
      <c r="W456" s="5" t="s">
        <v>708</v>
      </c>
      <c r="X456" s="17"/>
      <c r="Y456" s="8"/>
      <c r="AC456" s="18"/>
    </row>
    <row r="457" spans="1:47">
      <c r="A457" s="1" t="s">
        <v>704</v>
      </c>
      <c r="B457" s="1" t="s">
        <v>709</v>
      </c>
      <c r="D457" s="1" t="s">
        <v>92</v>
      </c>
      <c r="G457" s="2" t="str">
        <f>HYPERLINK(CONCATENATE(TabelleURL!$B$1,"32_ADIF/332RE01.pdf"), "332RE01KA")</f>
        <v>332RE01KA</v>
      </c>
      <c r="I457" s="2" t="str">
        <f>HYPERLINK(CONCATENATE(TabelleURL!$B$1,"342_ADIF/342RE01ZI.pdf"), "342RE01/0/ZI")</f>
        <v>342RE01/0/ZI</v>
      </c>
      <c r="T457" s="63"/>
      <c r="U457" s="5"/>
      <c r="W457" s="5"/>
      <c r="X457" s="17"/>
      <c r="Y457" s="8"/>
      <c r="AC457" s="18"/>
    </row>
    <row r="458" spans="1:47">
      <c r="A458" s="1" t="s">
        <v>704</v>
      </c>
      <c r="B458" s="1" t="s">
        <v>709</v>
      </c>
      <c r="D458" s="1" t="s">
        <v>27</v>
      </c>
      <c r="T458" s="63"/>
      <c r="U458" s="5"/>
      <c r="W458" s="5"/>
      <c r="X458" s="17"/>
      <c r="Y458" s="8"/>
      <c r="AB458" s="2" t="s">
        <v>710</v>
      </c>
      <c r="AC458" s="18"/>
    </row>
    <row r="459" spans="1:47">
      <c r="A459" s="1" t="s">
        <v>704</v>
      </c>
      <c r="B459" s="1" t="s">
        <v>711</v>
      </c>
      <c r="D459" s="1" t="s">
        <v>27</v>
      </c>
      <c r="R459" s="66" t="s">
        <v>45</v>
      </c>
      <c r="S459" s="67" t="str">
        <f>HYPERLINK(CONCATENATE(TabelleURL!$B$1,"341_RC_Interface/3414772.pdf"), "B-3414772")</f>
        <v>B-3414772</v>
      </c>
      <c r="T459" s="63">
        <v>3474771</v>
      </c>
      <c r="U459" s="5" t="s">
        <v>707</v>
      </c>
      <c r="W459" s="5" t="s">
        <v>708</v>
      </c>
      <c r="X459" s="17"/>
      <c r="Y459" s="8"/>
      <c r="AC459" s="18"/>
    </row>
    <row r="460" spans="1:47">
      <c r="A460" s="1" t="s">
        <v>704</v>
      </c>
      <c r="B460" s="1" t="s">
        <v>712</v>
      </c>
      <c r="C460" s="1" t="s">
        <v>713</v>
      </c>
      <c r="D460" s="1" t="s">
        <v>27</v>
      </c>
      <c r="R460" s="66" t="s">
        <v>45</v>
      </c>
      <c r="S460" s="67" t="str">
        <f>HYPERLINK(CONCATENATE(TabelleURL!$B$1,"341_RC_Interface/3414772.pdf"), "B-3414772")</f>
        <v>B-3414772</v>
      </c>
      <c r="T460" s="63">
        <v>3474771</v>
      </c>
      <c r="U460" s="5" t="s">
        <v>707</v>
      </c>
      <c r="W460" s="5" t="s">
        <v>708</v>
      </c>
      <c r="X460" s="17"/>
      <c r="Y460" s="8"/>
      <c r="AC460" s="18"/>
    </row>
    <row r="461" spans="1:47">
      <c r="A461" s="1" t="s">
        <v>704</v>
      </c>
      <c r="B461" s="1" t="s">
        <v>714</v>
      </c>
      <c r="C461" s="1" t="s">
        <v>715</v>
      </c>
      <c r="D461" s="1" t="s">
        <v>29</v>
      </c>
      <c r="M461" s="5" t="str">
        <f>HYPERLINK(CONCATENATE(TabelleURL!$B$1,"345_Signalbox/3450272.pdf"), "3450272")</f>
        <v>3450272</v>
      </c>
      <c r="T461" s="63"/>
      <c r="U461" s="5"/>
      <c r="W461" s="5"/>
      <c r="X461" s="17"/>
      <c r="Y461" s="8"/>
      <c r="AC461" s="18"/>
    </row>
    <row r="462" spans="1:47">
      <c r="A462" s="1" t="s">
        <v>704</v>
      </c>
      <c r="B462" s="1" t="s">
        <v>716</v>
      </c>
      <c r="C462" s="1" t="s">
        <v>717</v>
      </c>
      <c r="D462" s="1" t="s">
        <v>718</v>
      </c>
      <c r="R462" s="66" t="s">
        <v>45</v>
      </c>
      <c r="S462" s="67" t="s">
        <v>719</v>
      </c>
      <c r="T462" s="63"/>
      <c r="U462" s="5"/>
      <c r="W462" s="5" t="s">
        <v>719</v>
      </c>
      <c r="X462" s="17"/>
      <c r="Y462" s="8"/>
      <c r="AB462" s="2" t="s">
        <v>720</v>
      </c>
      <c r="AC462" s="18"/>
    </row>
    <row r="463" spans="1:47">
      <c r="A463" s="1" t="s">
        <v>704</v>
      </c>
      <c r="B463" s="1" t="s">
        <v>716</v>
      </c>
      <c r="C463" s="1" t="s">
        <v>721</v>
      </c>
      <c r="D463" s="1" t="s">
        <v>564</v>
      </c>
      <c r="T463" s="63"/>
      <c r="U463" s="5"/>
      <c r="W463" s="5"/>
      <c r="X463" s="17"/>
      <c r="Y463" s="8"/>
      <c r="AB463" s="2" t="s">
        <v>710</v>
      </c>
      <c r="AC463" s="18"/>
    </row>
    <row r="464" spans="1:47" ht="22.5">
      <c r="A464" s="1" t="s">
        <v>704</v>
      </c>
      <c r="B464" s="1" t="s">
        <v>716</v>
      </c>
      <c r="C464" s="1" t="s">
        <v>721</v>
      </c>
      <c r="D464" s="1" t="s">
        <v>69</v>
      </c>
      <c r="E464" s="76" t="s">
        <v>635</v>
      </c>
      <c r="F464" s="70" t="s">
        <v>722</v>
      </c>
      <c r="G464" s="2" t="str">
        <f>HYPERLINK(CONCATENATE(TabelleURL!$B$1,"332_ADIF/332NI01.pdf"), "332NI01KA")</f>
        <v>332NI01KA</v>
      </c>
      <c r="M464" s="5" t="str">
        <f>HYPERLINK(CONCATENATE(TabelleURL!$B$1,"345_Signalbox/3450272.pdf"), "3450272")</f>
        <v>3450272</v>
      </c>
      <c r="R464" s="66" t="s">
        <v>45</v>
      </c>
      <c r="S464" s="67" t="str">
        <f>HYPERLINK(CONCATENATE(TabelleURL!$B$1,"341_RC_Interface/3414771.pdf"), "B-3414771")</f>
        <v>B-3414771</v>
      </c>
      <c r="T464" s="63">
        <v>3474771</v>
      </c>
      <c r="U464" s="5" t="s">
        <v>723</v>
      </c>
      <c r="W464" s="5" t="s">
        <v>724</v>
      </c>
      <c r="X464" s="17"/>
      <c r="Y464" s="8"/>
      <c r="AC464" s="18"/>
      <c r="AS464" s="84" t="str">
        <f>HYPERLINK(CONCATENATE(TabelleURL!$B$1,"339_MWS/B-339NI01.pdf"), "B-339NI01")</f>
        <v>B-339NI01</v>
      </c>
    </row>
    <row r="465" spans="1:45">
      <c r="A465" s="1" t="s">
        <v>704</v>
      </c>
      <c r="B465" s="1" t="s">
        <v>716</v>
      </c>
      <c r="C465" s="1" t="s">
        <v>1409</v>
      </c>
      <c r="D465" s="1" t="s">
        <v>73</v>
      </c>
      <c r="T465" s="63"/>
      <c r="U465" s="5"/>
      <c r="W465" s="5"/>
      <c r="X465" s="17"/>
      <c r="Y465" s="8"/>
      <c r="AC465" s="18"/>
      <c r="AS465" s="84"/>
    </row>
    <row r="466" spans="1:45">
      <c r="A466" s="1" t="s">
        <v>704</v>
      </c>
      <c r="B466" s="1" t="s">
        <v>725</v>
      </c>
      <c r="C466" s="1" t="s">
        <v>726</v>
      </c>
      <c r="D466" s="1" t="s">
        <v>213</v>
      </c>
      <c r="E466" s="76" t="s">
        <v>635</v>
      </c>
      <c r="F466" s="70" t="s">
        <v>727</v>
      </c>
      <c r="R466" s="66" t="s">
        <v>45</v>
      </c>
      <c r="S466" s="67" t="str">
        <f>HYPERLINK(CONCATENATE(TabelleURL!$B$1,"341_RC_Interface/3414774.pdf"), "B-3414774")</f>
        <v>B-3414774</v>
      </c>
      <c r="T466" s="63">
        <v>3474771</v>
      </c>
      <c r="U466" s="5" t="s">
        <v>723</v>
      </c>
      <c r="W466" s="5" t="s">
        <v>728</v>
      </c>
      <c r="X466" s="17"/>
      <c r="Y466" s="8"/>
      <c r="AC466" s="18"/>
    </row>
    <row r="467" spans="1:45">
      <c r="A467" s="1" t="s">
        <v>704</v>
      </c>
      <c r="B467" s="1" t="s">
        <v>729</v>
      </c>
      <c r="D467" s="1" t="s">
        <v>27</v>
      </c>
      <c r="G467" s="2" t="str">
        <f>HYPERLINK(CONCATENATE(TabelleURL!$B$1,"32_ADIF/332RE01.pdf"), "332RE01KA")</f>
        <v>332RE01KA</v>
      </c>
      <c r="I467" s="2" t="str">
        <f>HYPERLINK(CONCATENATE(TabelleURL!$B$1,"342_ADIF/342RE01ZI.pdf"), "342RE01/0/ZI")</f>
        <v>342RE01/0/ZI</v>
      </c>
      <c r="M467" s="5" t="str">
        <f>HYPERLINK(CONCATENATE(TabelleURL!$B$1,"345_Signalbox/3450267.pdf"), "3450267")</f>
        <v>3450267</v>
      </c>
      <c r="T467" s="63"/>
      <c r="U467" s="5"/>
      <c r="W467" s="5"/>
      <c r="X467" s="17"/>
      <c r="Y467" s="8"/>
      <c r="AC467" s="18"/>
    </row>
    <row r="468" spans="1:45">
      <c r="A468" s="1" t="s">
        <v>704</v>
      </c>
      <c r="B468" s="1" t="s">
        <v>730</v>
      </c>
      <c r="D468" s="1" t="s">
        <v>213</v>
      </c>
      <c r="G468" s="2" t="str">
        <f>HYPERLINK(CONCATENATE(TabelleURL!$B$1,"332_ADIF/332NI01.pdf"), "332NI01KA")</f>
        <v>332NI01KA</v>
      </c>
      <c r="R468" s="66" t="s">
        <v>45</v>
      </c>
      <c r="S468" s="67" t="str">
        <f>HYPERLINK(CONCATENATE(TabelleURL!$B$1,"341_RC_Interface/3414771.pdf"), "B-3414771")</f>
        <v>B-3414771</v>
      </c>
      <c r="T468" s="63">
        <v>3474771</v>
      </c>
      <c r="U468" s="5" t="s">
        <v>723</v>
      </c>
      <c r="W468" s="5" t="s">
        <v>724</v>
      </c>
      <c r="X468" s="17"/>
      <c r="Y468" s="8"/>
      <c r="AC468" s="18"/>
    </row>
    <row r="469" spans="1:45">
      <c r="A469" s="1" t="s">
        <v>704</v>
      </c>
      <c r="B469" s="1" t="s">
        <v>731</v>
      </c>
      <c r="C469" s="1" t="s">
        <v>732</v>
      </c>
      <c r="D469" s="1" t="s">
        <v>733</v>
      </c>
      <c r="R469" s="66" t="s">
        <v>45</v>
      </c>
      <c r="S469" s="67" t="s">
        <v>719</v>
      </c>
      <c r="T469" s="63"/>
      <c r="U469" s="5"/>
      <c r="W469" s="5" t="s">
        <v>719</v>
      </c>
      <c r="X469" s="17"/>
      <c r="Y469" s="8"/>
      <c r="AB469" s="2" t="s">
        <v>710</v>
      </c>
      <c r="AC469" s="18"/>
    </row>
    <row r="470" spans="1:45">
      <c r="A470" s="1" t="s">
        <v>704</v>
      </c>
      <c r="B470" s="1" t="s">
        <v>731</v>
      </c>
      <c r="C470" s="1" t="s">
        <v>734</v>
      </c>
      <c r="D470" s="1" t="s">
        <v>251</v>
      </c>
      <c r="G470" s="2" t="str">
        <f>HYPERLINK(CONCATENATE(TabelleURL!$B$1,"332_ADIF/332NI01.pdf"), "332NI01KA")</f>
        <v>332NI01KA</v>
      </c>
      <c r="M470" s="5" t="str">
        <f>HYPERLINK(CONCATENATE(TabelleURL!$B$1,"345_Signalbox/3450272.pdf"), "3450272")</f>
        <v>3450272</v>
      </c>
      <c r="R470" s="66" t="s">
        <v>45</v>
      </c>
      <c r="S470" s="67" t="str">
        <f>HYPERLINK(CONCATENATE(TabelleURL!$B$1,"341_RC_Interface/3414771.pdf"), "B-3414771")</f>
        <v>B-3414771</v>
      </c>
      <c r="T470" s="63">
        <v>3474771</v>
      </c>
      <c r="U470" s="5" t="s">
        <v>723</v>
      </c>
      <c r="W470" s="5" t="s">
        <v>724</v>
      </c>
      <c r="X470" s="17"/>
      <c r="Y470" s="8"/>
      <c r="AC470" s="18"/>
    </row>
    <row r="471" spans="1:45">
      <c r="A471" s="1" t="s">
        <v>704</v>
      </c>
      <c r="B471" s="1" t="s">
        <v>735</v>
      </c>
      <c r="D471" s="1" t="s">
        <v>199</v>
      </c>
      <c r="G471" s="2" t="str">
        <f>HYPERLINK(CONCATENATE(TabelleURL!$B$1,"342_ADIF/342RE02.pdf"), "342RE02/0")</f>
        <v>342RE02/0</v>
      </c>
      <c r="M471" s="5" t="str">
        <f>HYPERLINK(CONCATENATE(TabelleURL!$B$1,"345_Signalbox/3450263.pdf"), "3450263")</f>
        <v>3450263</v>
      </c>
      <c r="T471" s="63">
        <v>3470004</v>
      </c>
      <c r="U471" s="5"/>
      <c r="W471" s="5"/>
      <c r="X471" s="17"/>
      <c r="Y471" s="8"/>
      <c r="AC471" s="18"/>
    </row>
    <row r="472" spans="1:45">
      <c r="A472" s="1" t="s">
        <v>704</v>
      </c>
      <c r="B472" s="1" t="s">
        <v>735</v>
      </c>
      <c r="C472" s="1" t="s">
        <v>211</v>
      </c>
      <c r="D472" s="1" t="s">
        <v>114</v>
      </c>
      <c r="G472" s="2" t="str">
        <f>HYPERLINK(CONCATENATE(TabelleURL!$B$1,"342_ADIF/342RE02.pdf"), "342RE02/0")</f>
        <v>342RE02/0</v>
      </c>
      <c r="T472" s="63">
        <v>3470004</v>
      </c>
      <c r="U472" s="5"/>
      <c r="W472" s="5"/>
      <c r="X472" s="17"/>
      <c r="Y472" s="8"/>
      <c r="AC472" s="18"/>
    </row>
    <row r="473" spans="1:45">
      <c r="A473" s="1" t="s">
        <v>704</v>
      </c>
      <c r="B473" s="1" t="s">
        <v>735</v>
      </c>
      <c r="C473" s="1" t="s">
        <v>225</v>
      </c>
      <c r="D473" s="1" t="s">
        <v>116</v>
      </c>
      <c r="G473" s="2" t="str">
        <f>HYPERLINK(CONCATENATE(TabelleURL!$B$1,"332_ADIF/332RE03.pdf"), "332RE03")</f>
        <v>332RE03</v>
      </c>
      <c r="M473" s="5" t="str">
        <f>HYPERLINK(CONCATENATE(TabelleURL!$B$1,"345_Signalbox/3450271.pdf"), "3450271")</f>
        <v>3450271</v>
      </c>
      <c r="T473" s="63"/>
      <c r="U473" s="5"/>
      <c r="W473" s="5"/>
      <c r="X473" s="17"/>
      <c r="Y473" s="8"/>
      <c r="AB473" s="2" t="s">
        <v>710</v>
      </c>
      <c r="AC473" s="18"/>
    </row>
    <row r="474" spans="1:45">
      <c r="A474" s="1" t="s">
        <v>704</v>
      </c>
      <c r="B474" s="1" t="s">
        <v>736</v>
      </c>
      <c r="D474" s="1" t="s">
        <v>231</v>
      </c>
      <c r="G474" s="2" t="str">
        <f>HYPERLINK(CONCATENATE(TabelleURL!$B$1,"332_ADIF/332NI01.pdf"), "332NI01KA")</f>
        <v>332NI01KA</v>
      </c>
      <c r="R474" s="66" t="s">
        <v>45</v>
      </c>
      <c r="S474" s="67" t="str">
        <f>HYPERLINK(CONCATENATE(TabelleURL!$B$1,"341_RC_Interface/3414771.pdf"), "B-3414771")</f>
        <v>B-3414771</v>
      </c>
      <c r="T474" s="63">
        <v>3474771</v>
      </c>
      <c r="U474" s="5" t="s">
        <v>723</v>
      </c>
      <c r="W474" s="5" t="s">
        <v>724</v>
      </c>
      <c r="X474" s="17"/>
      <c r="Y474" s="8"/>
      <c r="AB474" s="2" t="s">
        <v>710</v>
      </c>
      <c r="AC474" s="18"/>
    </row>
    <row r="475" spans="1:45">
      <c r="A475" s="1" t="s">
        <v>704</v>
      </c>
      <c r="B475" s="1" t="s">
        <v>737</v>
      </c>
      <c r="D475" s="1" t="s">
        <v>255</v>
      </c>
      <c r="R475" s="66" t="s">
        <v>45</v>
      </c>
      <c r="S475" s="67" t="str">
        <f>HYPERLINK(CONCATENATE(TabelleURL!$B$1,"341_RC_Interface/3414771.pdf"), "B-3414771")</f>
        <v>B-3414771</v>
      </c>
      <c r="T475" s="63">
        <v>3474771</v>
      </c>
      <c r="U475" s="5" t="s">
        <v>723</v>
      </c>
      <c r="W475" s="5" t="s">
        <v>724</v>
      </c>
      <c r="X475" s="17"/>
      <c r="Y475" s="8"/>
      <c r="AB475" s="2" t="s">
        <v>710</v>
      </c>
      <c r="AC475" s="18"/>
    </row>
    <row r="476" spans="1:45">
      <c r="A476" s="1" t="s">
        <v>704</v>
      </c>
      <c r="B476" s="1" t="s">
        <v>736</v>
      </c>
      <c r="D476" s="1" t="s">
        <v>27</v>
      </c>
      <c r="G476" s="2" t="str">
        <f>HYPERLINK(CONCATENATE(TabelleURL!$B$1,"332_ADIF/332NI01.pdf"), "332NI01KA")</f>
        <v>332NI01KA</v>
      </c>
      <c r="R476" s="66" t="s">
        <v>45</v>
      </c>
      <c r="S476" s="67" t="str">
        <f>HYPERLINK(CONCATENATE(TabelleURL!$B$1,"341_RC_Interface/3414771.pdf"), "B-3414771")</f>
        <v>B-3414771</v>
      </c>
      <c r="T476" s="63">
        <v>3474771</v>
      </c>
      <c r="U476" s="5" t="s">
        <v>723</v>
      </c>
      <c r="W476" s="5" t="s">
        <v>724</v>
      </c>
      <c r="X476" s="17"/>
      <c r="Y476" s="8"/>
      <c r="AC476" s="18"/>
    </row>
    <row r="477" spans="1:45">
      <c r="A477" s="1" t="s">
        <v>704</v>
      </c>
      <c r="B477" s="1" t="s">
        <v>738</v>
      </c>
      <c r="C477" s="1" t="s">
        <v>739</v>
      </c>
      <c r="D477" s="1" t="s">
        <v>740</v>
      </c>
      <c r="G477" s="2" t="str">
        <f>HYPERLINK(CONCATENATE(TabelleURL!$B$1,"332_ADIF/332NI01.pdf"), "332NI01KA")</f>
        <v>332NI01KA</v>
      </c>
      <c r="R477" s="66" t="s">
        <v>45</v>
      </c>
      <c r="S477" s="67" t="s">
        <v>719</v>
      </c>
      <c r="T477" s="63"/>
      <c r="U477" s="5"/>
      <c r="W477" s="5" t="s">
        <v>719</v>
      </c>
      <c r="X477" s="17"/>
      <c r="Y477" s="8"/>
      <c r="AB477" s="2" t="s">
        <v>710</v>
      </c>
      <c r="AC477" s="18"/>
    </row>
    <row r="478" spans="1:45">
      <c r="A478" s="1" t="s">
        <v>704</v>
      </c>
      <c r="B478" s="1" t="s">
        <v>738</v>
      </c>
      <c r="C478" s="1" t="s">
        <v>741</v>
      </c>
      <c r="D478" s="1" t="s">
        <v>742</v>
      </c>
      <c r="G478" s="2" t="str">
        <f>HYPERLINK(CONCATENATE(TabelleURL!$B$1,"332_ADIF/332NI01.pdf"), "332NI01KA")</f>
        <v>332NI01KA</v>
      </c>
      <c r="R478" s="66" t="s">
        <v>45</v>
      </c>
      <c r="S478" s="67" t="str">
        <f>HYPERLINK(CONCATENATE(TabelleURL!$B$1,"341_RC_Interface/3414774.pdf"), "B-3414774")</f>
        <v>B-3414774</v>
      </c>
      <c r="T478" s="63">
        <v>3474771</v>
      </c>
      <c r="U478" s="5" t="s">
        <v>723</v>
      </c>
      <c r="W478" s="5" t="s">
        <v>728</v>
      </c>
      <c r="X478" s="17"/>
      <c r="Y478" s="8"/>
      <c r="AB478" s="2" t="s">
        <v>710</v>
      </c>
      <c r="AC478" s="18"/>
    </row>
    <row r="479" spans="1:45">
      <c r="A479" s="1" t="s">
        <v>704</v>
      </c>
      <c r="B479" s="1" t="s">
        <v>738</v>
      </c>
      <c r="C479" s="1" t="s">
        <v>743</v>
      </c>
      <c r="D479" s="1" t="s">
        <v>116</v>
      </c>
      <c r="T479" s="63"/>
      <c r="U479" s="5"/>
      <c r="W479" s="5"/>
      <c r="X479" s="17"/>
      <c r="Y479" s="8"/>
      <c r="AC479" s="18"/>
    </row>
    <row r="480" spans="1:45">
      <c r="A480" s="1" t="s">
        <v>704</v>
      </c>
      <c r="B480" s="1" t="s">
        <v>744</v>
      </c>
      <c r="C480" s="1" t="s">
        <v>745</v>
      </c>
      <c r="D480" s="1" t="s">
        <v>519</v>
      </c>
      <c r="R480" s="66" t="s">
        <v>45</v>
      </c>
      <c r="S480" s="67" t="s">
        <v>719</v>
      </c>
      <c r="T480" s="63"/>
      <c r="U480" s="5"/>
      <c r="W480" s="5" t="s">
        <v>719</v>
      </c>
      <c r="X480" s="17"/>
      <c r="Y480" s="8"/>
      <c r="AC480" s="18"/>
    </row>
    <row r="481" spans="1:44">
      <c r="A481" s="1" t="s">
        <v>746</v>
      </c>
      <c r="B481" s="1" t="s">
        <v>1429</v>
      </c>
      <c r="D481" s="1" t="s">
        <v>61</v>
      </c>
      <c r="T481" s="63"/>
      <c r="U481" s="5"/>
      <c r="W481" s="5"/>
      <c r="X481" s="17"/>
      <c r="Y481" s="8"/>
      <c r="AC481" s="18"/>
    </row>
    <row r="482" spans="1:44">
      <c r="A482" s="1" t="s">
        <v>746</v>
      </c>
      <c r="B482" s="1" t="s">
        <v>747</v>
      </c>
      <c r="C482" s="1" t="s">
        <v>748</v>
      </c>
      <c r="D482" s="1" t="s">
        <v>29</v>
      </c>
      <c r="G482" s="2" t="str">
        <f>HYPERLINK(CONCATENATE(TabelleURL!$B$1,"332_ADIF/332SZ01.pdf"), "332SZ01")</f>
        <v>332SZ01</v>
      </c>
      <c r="M482" s="5" t="str">
        <f>HYPERLINK(CONCATENATE(TabelleURL!$B$1,"345_Signalbox/3450272.pdf"), "3450272")</f>
        <v>3450272</v>
      </c>
      <c r="R482" s="66" t="s">
        <v>11</v>
      </c>
      <c r="S482" s="67" t="str">
        <f>HYPERLINK(CONCATENATE(TabelleURL!$B$1,"341_RC_Interface/3414786.pdf"), "B-3414786")</f>
        <v>B-3414786</v>
      </c>
      <c r="T482" s="63">
        <v>3474787</v>
      </c>
      <c r="U482" s="5" t="s">
        <v>355</v>
      </c>
      <c r="W482" s="5" t="s">
        <v>356</v>
      </c>
      <c r="X482" s="17"/>
      <c r="Y482" s="8"/>
      <c r="AB482" s="2" t="s">
        <v>55</v>
      </c>
      <c r="AC482" s="18"/>
    </row>
    <row r="483" spans="1:44">
      <c r="A483" s="1" t="s">
        <v>746</v>
      </c>
      <c r="B483" s="1" t="s">
        <v>749</v>
      </c>
      <c r="D483" s="1" t="s">
        <v>114</v>
      </c>
      <c r="G483" s="2" t="str">
        <f>HYPERLINK(CONCATENATE(TabelleURL!$B$1,"332_ADIF/332OP02.pdf"), "332OP02KA")</f>
        <v>332OP02KA</v>
      </c>
      <c r="T483" s="63">
        <v>3470004</v>
      </c>
      <c r="U483" s="5" t="s">
        <v>51</v>
      </c>
      <c r="W483" s="5"/>
      <c r="X483" s="17"/>
      <c r="Y483" s="8"/>
      <c r="AC483" s="18"/>
      <c r="AF483" s="8" t="str">
        <f>HYPERLINK(CONCATENATE(TabelleURL!$B$1,"350_RICI_PDC_OBI/B-3504701 RICI HS_D_E.pdf"), "B-3504701")</f>
        <v>B-3504701</v>
      </c>
    </row>
    <row r="484" spans="1:44">
      <c r="A484" s="1" t="s">
        <v>750</v>
      </c>
      <c r="B484" s="1" t="s">
        <v>751</v>
      </c>
      <c r="C484" s="1" t="s">
        <v>752</v>
      </c>
      <c r="D484" s="1" t="s">
        <v>753</v>
      </c>
      <c r="E484" s="76" t="s">
        <v>754</v>
      </c>
      <c r="R484" s="66" t="s">
        <v>45</v>
      </c>
      <c r="S484" s="67" t="s">
        <v>755</v>
      </c>
      <c r="T484" s="63"/>
      <c r="U484" s="5"/>
      <c r="W484" s="5" t="s">
        <v>755</v>
      </c>
      <c r="X484" s="17"/>
      <c r="Y484" s="8"/>
      <c r="AB484" s="2" t="s">
        <v>55</v>
      </c>
      <c r="AC484" s="18"/>
    </row>
    <row r="485" spans="1:44">
      <c r="A485" s="1" t="s">
        <v>746</v>
      </c>
      <c r="B485" s="1" t="s">
        <v>751</v>
      </c>
      <c r="C485" s="1" t="s">
        <v>756</v>
      </c>
      <c r="D485" s="1" t="s">
        <v>23</v>
      </c>
      <c r="G485" s="2" t="str">
        <f>HYPERLINK(CONCATENATE(TabelleURL!$B$1,"332_ADIF/332OP02.pdf"), "332OP02KA")</f>
        <v>332OP02KA</v>
      </c>
      <c r="M485" s="5" t="str">
        <f>HYPERLINK(CONCATENATE(TabelleURL!$B$1,"345_Signalbox/3450268.pdf"), "3450268")</f>
        <v>3450268</v>
      </c>
      <c r="T485" s="63">
        <v>3470004</v>
      </c>
      <c r="U485" s="5" t="s">
        <v>51</v>
      </c>
      <c r="W485" s="5"/>
      <c r="X485" s="17"/>
      <c r="Y485" s="8"/>
      <c r="AC485" s="18"/>
      <c r="AF485" s="8" t="str">
        <f>HYPERLINK(CONCATENATE(TabelleURL!$B$1,"350_RICI_PDC_OBI/B-3504701 RICI HS_D_E.pdf"), "B-3504701")</f>
        <v>B-3504701</v>
      </c>
      <c r="AH485" s="4" t="str">
        <f>HYPERLINK(CONCATENATE(TabelleURL!$B$1,"346_CAN2com/346300XX.pdf"), "34630019")</f>
        <v>34630019</v>
      </c>
      <c r="AR485" s="3" t="s">
        <v>757</v>
      </c>
    </row>
    <row r="486" spans="1:44">
      <c r="A486" s="1" t="s">
        <v>746</v>
      </c>
      <c r="B486" s="1" t="s">
        <v>751</v>
      </c>
      <c r="C486" s="1" t="s">
        <v>758</v>
      </c>
      <c r="D486" s="1" t="s">
        <v>178</v>
      </c>
      <c r="E486" s="76" t="s">
        <v>214</v>
      </c>
      <c r="G486" s="2" t="str">
        <f>HYPERLINK(CONCATENATE(TabelleURL!$B$1,"332_ADIF/332OP04.pdf"), "332OP04KA")</f>
        <v>332OP04KA</v>
      </c>
      <c r="I486" s="2" t="str">
        <f>HYPERLINK(CONCATENATE(TabelleURL!$B$1,"332_ADIF/332OP04ZI.pdf"), "332OP04/0/ZI")</f>
        <v>332OP04/0/ZI</v>
      </c>
      <c r="M486" s="5" t="str">
        <f>HYPERLINK(CONCATENATE(TabelleURL!$B$1,"345_Signalbox/3450256.pdf"), "3450256")</f>
        <v>3450256</v>
      </c>
      <c r="T486" s="63"/>
      <c r="U486" s="5"/>
      <c r="W486" s="5"/>
      <c r="X486" s="17"/>
      <c r="Y486" s="8"/>
      <c r="AC486" s="18"/>
      <c r="AH486" s="4" t="str">
        <f>HYPERLINK(CONCATENATE(TabelleURL!$B$1,"346_CAN2com/3475834.pdf"), "3475834")</f>
        <v>3475834</v>
      </c>
      <c r="AI486" s="5" t="str">
        <f>HYPERLINK(CONCATENATE(TabelleURL!$B$1,"3499_Taxi/34990084.pdf"), "34990084")</f>
        <v>34990084</v>
      </c>
      <c r="AR486" s="3" t="s">
        <v>759</v>
      </c>
    </row>
    <row r="487" spans="1:44">
      <c r="A487" s="1" t="s">
        <v>746</v>
      </c>
      <c r="B487" s="1" t="s">
        <v>751</v>
      </c>
      <c r="C487" s="1" t="s">
        <v>758</v>
      </c>
      <c r="D487" s="1" t="s">
        <v>178</v>
      </c>
      <c r="E487" s="76" t="s">
        <v>215</v>
      </c>
      <c r="G487" s="2" t="str">
        <f>HYPERLINK(CONCATENATE(TabelleURL!$B$1,"332_ADIF/332OP04.pdf"), "332OP04KA")</f>
        <v>332OP04KA</v>
      </c>
      <c r="I487" s="2" t="str">
        <f>HYPERLINK(CONCATENATE(TabelleURL!$B$1,"332_ADIF/332OP04ZI.pdf"), "332OP04/0/ZI")</f>
        <v>332OP04/0/ZI</v>
      </c>
      <c r="M487" s="5" t="str">
        <f>HYPERLINK(CONCATENATE(TabelleURL!$B$1,"345_Signalbox/3450256.pdf"), "3450256")</f>
        <v>3450256</v>
      </c>
      <c r="T487" s="63"/>
      <c r="U487" s="5"/>
      <c r="W487" s="5"/>
      <c r="X487" s="17"/>
      <c r="Y487" s="8"/>
      <c r="AC487" s="18"/>
      <c r="AH487" s="4" t="str">
        <f>HYPERLINK(CONCATENATE(TabelleURL!$B$1,"346_CAN2com/3475834.pdf"), "3475834")</f>
        <v>3475834</v>
      </c>
      <c r="AI487" s="5" t="str">
        <f>HYPERLINK(CONCATENATE(TabelleURL!$B$1,"3499_Taxi/34990084.pdf"), "34990084")</f>
        <v>34990084</v>
      </c>
      <c r="AR487" s="3" t="s">
        <v>759</v>
      </c>
    </row>
    <row r="488" spans="1:44" ht="25.5">
      <c r="A488" s="1" t="s">
        <v>746</v>
      </c>
      <c r="B488" s="1" t="s">
        <v>751</v>
      </c>
      <c r="C488" s="1" t="s">
        <v>760</v>
      </c>
      <c r="D488" s="1" t="s">
        <v>73</v>
      </c>
      <c r="G488" s="2" t="str">
        <f>HYPERLINK(CONCATENATE(TabelleURL!$B$1,"332_ADIF/332OP04.pdf"), "332OP04KA")</f>
        <v>332OP04KA</v>
      </c>
      <c r="I488" s="2" t="str">
        <f>HYPERLINK(CONCATENATE(TabelleURL!$B$1,"332_ADIF/332OP04ZI.pdf"), "332OP04/0/ZI")</f>
        <v>332OP04/0/ZI</v>
      </c>
      <c r="M488" s="5" t="str">
        <f>HYPERLINK(CONCATENATE(TabelleURL!$B$1,"345_Signalbox/3450256.pdf"), "3450256")</f>
        <v>3450256</v>
      </c>
      <c r="T488" s="63"/>
      <c r="U488" s="5"/>
      <c r="W488" s="5"/>
      <c r="X488" s="17"/>
      <c r="Y488" s="8"/>
      <c r="AB488" s="2" t="s">
        <v>761</v>
      </c>
      <c r="AC488" s="18"/>
      <c r="AH488" s="4" t="str">
        <f>HYPERLINK(CONCATENATE(TabelleURL!$B$1,"346_CAN2com/3475834.pdf"), "3475834")</f>
        <v>3475834</v>
      </c>
      <c r="AI488" s="5" t="str">
        <f>HYPERLINK(CONCATENATE(TabelleURL!$B$1,"3499_Taxi/34990084.pdf"), "34990084")</f>
        <v>34990084</v>
      </c>
    </row>
    <row r="489" spans="1:44">
      <c r="A489" s="1" t="s">
        <v>746</v>
      </c>
      <c r="B489" s="1" t="s">
        <v>762</v>
      </c>
      <c r="C489" s="1" t="s">
        <v>763</v>
      </c>
      <c r="D489" s="1" t="s">
        <v>92</v>
      </c>
      <c r="T489" s="63"/>
      <c r="U489" s="5"/>
      <c r="W489" s="5"/>
      <c r="X489" s="17"/>
      <c r="Y489" s="8"/>
      <c r="AC489" s="18"/>
      <c r="AR489" s="3" t="s">
        <v>764</v>
      </c>
    </row>
    <row r="490" spans="1:44">
      <c r="A490" s="1" t="s">
        <v>746</v>
      </c>
      <c r="B490" s="1" t="s">
        <v>762</v>
      </c>
      <c r="C490" s="1" t="s">
        <v>765</v>
      </c>
      <c r="D490" s="82" t="s">
        <v>61</v>
      </c>
      <c r="G490" s="2" t="str">
        <f>HYPERLINK(CONCATENATE(TabelleURL!$B$1,"332_ADIF/332FI01.pdf"), "332FI01")</f>
        <v>332FI01</v>
      </c>
      <c r="M490" s="9"/>
      <c r="P490" s="5" t="s">
        <v>766</v>
      </c>
      <c r="T490" s="63"/>
      <c r="U490" s="5"/>
      <c r="W490" s="5"/>
      <c r="X490" s="17"/>
      <c r="Y490" s="8"/>
      <c r="AC490" s="18"/>
    </row>
    <row r="491" spans="1:44">
      <c r="A491" s="1" t="s">
        <v>746</v>
      </c>
      <c r="B491" s="1" t="s">
        <v>767</v>
      </c>
      <c r="C491" s="1" t="s">
        <v>763</v>
      </c>
      <c r="D491" s="1" t="s">
        <v>768</v>
      </c>
      <c r="R491" s="66" t="s">
        <v>45</v>
      </c>
      <c r="S491" s="67" t="s">
        <v>755</v>
      </c>
      <c r="T491" s="63"/>
      <c r="U491" s="5"/>
      <c r="W491" s="5" t="s">
        <v>755</v>
      </c>
      <c r="X491" s="17"/>
      <c r="Y491" s="8"/>
      <c r="AB491" s="2" t="s">
        <v>55</v>
      </c>
      <c r="AC491" s="18"/>
    </row>
    <row r="492" spans="1:44" ht="22.5">
      <c r="A492" s="1" t="s">
        <v>746</v>
      </c>
      <c r="B492" s="1" t="s">
        <v>767</v>
      </c>
      <c r="C492" s="1" t="s">
        <v>765</v>
      </c>
      <c r="D492" s="1" t="s">
        <v>354</v>
      </c>
      <c r="F492" s="70" t="s">
        <v>769</v>
      </c>
      <c r="G492" s="2" t="s">
        <v>770</v>
      </c>
      <c r="R492" s="66" t="s">
        <v>45</v>
      </c>
      <c r="S492" s="67" t="s">
        <v>771</v>
      </c>
      <c r="T492" s="63">
        <v>3470004</v>
      </c>
      <c r="U492" s="5" t="s">
        <v>51</v>
      </c>
      <c r="W492" s="5"/>
      <c r="X492" s="17"/>
      <c r="Y492" s="8"/>
      <c r="AC492" s="18"/>
      <c r="AF492" s="8" t="str">
        <f>HYPERLINK(CONCATENATE(TabelleURL!$B$1,"350_RICI_PDC_OBI/B-3504701 RICI HS_D_E.pdf"), "B-3504701")</f>
        <v>B-3504701</v>
      </c>
    </row>
    <row r="493" spans="1:44">
      <c r="A493" s="1" t="s">
        <v>746</v>
      </c>
      <c r="B493" s="1" t="s">
        <v>767</v>
      </c>
      <c r="C493" s="1" t="s">
        <v>629</v>
      </c>
      <c r="D493" s="24" t="s">
        <v>73</v>
      </c>
      <c r="G493" s="2" t="str">
        <f>HYPERLINK(CONCATENATE(TabelleURL!$B$1,"332_ADIF/332OP04.pdf"), "332OP04KA")</f>
        <v>332OP04KA</v>
      </c>
      <c r="I493" s="2" t="str">
        <f>HYPERLINK(CONCATENATE(TabelleURL!$B$1,"332_ADIF/332OP04ZI.pdf"), "332OP04/0/ZI")</f>
        <v>332OP04/0/ZI</v>
      </c>
      <c r="M493" s="5" t="str">
        <f>HYPERLINK(CONCATENATE(TabelleURL!$B$1,"345_Signalbox/3450256.pdf"), "3450256")</f>
        <v>3450256</v>
      </c>
      <c r="T493" s="63"/>
      <c r="U493" s="5"/>
      <c r="W493" s="5"/>
      <c r="X493" s="17"/>
      <c r="Y493" s="8"/>
      <c r="AC493" s="18"/>
    </row>
    <row r="494" spans="1:44">
      <c r="A494" s="1" t="s">
        <v>746</v>
      </c>
      <c r="B494" s="1" t="s">
        <v>22</v>
      </c>
      <c r="D494" s="1" t="s">
        <v>772</v>
      </c>
      <c r="T494" s="63">
        <v>3470004</v>
      </c>
      <c r="U494" s="5" t="s">
        <v>453</v>
      </c>
      <c r="W494" s="5"/>
      <c r="X494" s="17"/>
      <c r="Y494" s="8"/>
      <c r="AC494" s="18"/>
    </row>
    <row r="495" spans="1:44">
      <c r="A495" s="1" t="s">
        <v>746</v>
      </c>
      <c r="B495" s="1" t="s">
        <v>773</v>
      </c>
      <c r="C495" s="1" t="s">
        <v>774</v>
      </c>
      <c r="D495" s="1" t="s">
        <v>775</v>
      </c>
      <c r="E495" s="76" t="s">
        <v>214</v>
      </c>
      <c r="G495" s="2" t="str">
        <f>HYPERLINK(CONCATENATE(TabelleURL!$B$1,"332_ADIF/332OP04.pdf"), "332OP04KA")</f>
        <v>332OP04KA</v>
      </c>
      <c r="I495" s="2" t="str">
        <f>HYPERLINK(CONCATENATE(TabelleURL!$B$1,"332_ADIF/332OP04ZI.pdf"), "332OP04/0/ZI")</f>
        <v>332OP04/0/ZI</v>
      </c>
      <c r="M495" s="5" t="str">
        <f>HYPERLINK(CONCATENATE(TabelleURL!$B$1,"345_Signalbox/3450256.pdf"), "3450256")</f>
        <v>3450256</v>
      </c>
      <c r="T495" s="63"/>
      <c r="U495" s="5"/>
      <c r="W495" s="5"/>
      <c r="X495" s="17"/>
      <c r="Y495" s="8"/>
      <c r="AC495" s="18"/>
      <c r="AH495" s="4" t="str">
        <f>HYPERLINK(CONCATENATE(TabelleURL!$B$1,"346_CAN2com/3475834.pdf"), "3475834")</f>
        <v>3475834</v>
      </c>
      <c r="AI495" s="5" t="str">
        <f>HYPERLINK(CONCATENATE(TabelleURL!$B$1,"3499_Taxi/34990084.pdf"), "34990084")</f>
        <v>34990084</v>
      </c>
    </row>
    <row r="496" spans="1:44">
      <c r="A496" s="1" t="s">
        <v>746</v>
      </c>
      <c r="B496" s="1" t="s">
        <v>773</v>
      </c>
      <c r="C496" s="1" t="s">
        <v>774</v>
      </c>
      <c r="D496" s="1" t="s">
        <v>775</v>
      </c>
      <c r="E496" s="76" t="s">
        <v>215</v>
      </c>
      <c r="G496" s="2" t="str">
        <f>HYPERLINK(CONCATENATE(TabelleURL!$B$1,"332_ADIF/332OP04.pdf"), "332OP04KA")</f>
        <v>332OP04KA</v>
      </c>
      <c r="I496" s="2" t="str">
        <f>HYPERLINK(CONCATENATE(TabelleURL!$B$1,"332_ADIF/332OP04ZI.pdf"), "332OP04/0/ZI")</f>
        <v>332OP04/0/ZI</v>
      </c>
      <c r="M496" s="5" t="str">
        <f>HYPERLINK(CONCATENATE(TabelleURL!$B$1,"345_Signalbox/3450256.pdf"), "3450256")</f>
        <v>3450256</v>
      </c>
      <c r="T496" s="63"/>
      <c r="U496" s="5"/>
      <c r="W496" s="5"/>
      <c r="X496" s="17"/>
      <c r="Y496" s="8"/>
      <c r="AC496" s="18"/>
      <c r="AH496" s="4" t="str">
        <f>HYPERLINK(CONCATENATE(TabelleURL!$B$1,"346_CAN2com/3475834.pdf"), "3475834")</f>
        <v>3475834</v>
      </c>
      <c r="AI496" s="5" t="str">
        <f>HYPERLINK(CONCATENATE(TabelleURL!$B$1,"3499_Taxi/34990084.pdf"), "34990084")</f>
        <v>34990084</v>
      </c>
    </row>
    <row r="497" spans="1:44">
      <c r="A497" s="1" t="s">
        <v>746</v>
      </c>
      <c r="B497" s="1" t="s">
        <v>776</v>
      </c>
      <c r="D497" s="1" t="s">
        <v>73</v>
      </c>
      <c r="G497" s="2" t="str">
        <f>HYPERLINK(CONCATENATE(TabelleURL!$B$1,"332_ADIF/332OP04.pdf"), "332OP04KA")</f>
        <v>332OP04KA</v>
      </c>
      <c r="I497" s="2" t="str">
        <f>HYPERLINK(CONCATENATE(TabelleURL!$B$1,"332_ADIF/332OP04ZI.pdf"), "332OP04/0/ZI")</f>
        <v>332OP04/0/ZI</v>
      </c>
      <c r="M497" s="5" t="str">
        <f>HYPERLINK(CONCATENATE(TabelleURL!$B$1,"345_Signalbox/3450256.pdf"), "3450256")</f>
        <v>3450256</v>
      </c>
      <c r="T497" s="63"/>
      <c r="U497" s="5"/>
      <c r="W497" s="5"/>
      <c r="X497" s="17"/>
      <c r="Y497" s="8"/>
      <c r="AB497" s="2" t="s">
        <v>55</v>
      </c>
      <c r="AC497" s="18"/>
    </row>
    <row r="498" spans="1:44">
      <c r="A498" s="1" t="s">
        <v>746</v>
      </c>
      <c r="B498" s="1" t="s">
        <v>777</v>
      </c>
      <c r="C498" s="1" t="s">
        <v>774</v>
      </c>
      <c r="D498" s="1" t="s">
        <v>92</v>
      </c>
      <c r="G498" s="2" t="str">
        <f>HYPERLINK(CONCATENATE(TabelleURL!$B$1,"332_ADIF/332OP02.pdf"), "332OP02KA")</f>
        <v>332OP02KA</v>
      </c>
      <c r="T498" s="63">
        <v>3470004</v>
      </c>
      <c r="U498" s="5" t="s">
        <v>51</v>
      </c>
      <c r="W498" s="5"/>
      <c r="X498" s="17"/>
      <c r="Y498" s="8"/>
      <c r="AC498" s="18"/>
      <c r="AF498" s="8" t="str">
        <f>HYPERLINK(CONCATENATE(TabelleURL!$B$1,"350_RICI_PDC_OBI/B-3504701 RICI HS_D_E.pdf"), "B-3504701")</f>
        <v>B-3504701</v>
      </c>
    </row>
    <row r="499" spans="1:44">
      <c r="A499" s="1" t="s">
        <v>746</v>
      </c>
      <c r="B499" s="1" t="s">
        <v>777</v>
      </c>
      <c r="C499" s="1" t="s">
        <v>748</v>
      </c>
      <c r="D499" s="1" t="s">
        <v>27</v>
      </c>
      <c r="G499" s="2" t="str">
        <f>HYPERLINK(CONCATENATE(TabelleURL!$B$1,"332_ADIF/332OP04.pdf"), "332OP04KA")</f>
        <v>332OP04KA</v>
      </c>
      <c r="I499" s="2" t="str">
        <f>HYPERLINK(CONCATENATE(TabelleURL!$B$1,"332_ADIF/332OP04ZI.pdf"), "332OP04/0/ZI")</f>
        <v>332OP04/0/ZI</v>
      </c>
      <c r="M499" s="5" t="str">
        <f>HYPERLINK(CONCATENATE(TabelleURL!$B$1,"345_Signalbox/3450256.pdf"), "3450256")</f>
        <v>3450256</v>
      </c>
      <c r="T499" s="63"/>
      <c r="U499" s="5"/>
      <c r="W499" s="5"/>
      <c r="X499" s="17"/>
      <c r="Y499" s="8"/>
      <c r="AC499" s="18"/>
      <c r="AH499" s="4" t="str">
        <f>HYPERLINK(CONCATENATE(TabelleURL!$B$1,"346_CAN2com/3475834.pdf"), "3475834")</f>
        <v>3475834</v>
      </c>
    </row>
    <row r="500" spans="1:44">
      <c r="A500" s="1" t="s">
        <v>746</v>
      </c>
      <c r="B500" s="1" t="s">
        <v>778</v>
      </c>
      <c r="D500" s="1" t="s">
        <v>61</v>
      </c>
      <c r="G500" s="2" t="str">
        <f>HYPERLINK(CONCATENATE(TabelleURL!$B$1,"332_ADIF/332OP04.pdf"), "332OP04KA")</f>
        <v>332OP04KA</v>
      </c>
      <c r="I500" s="2" t="str">
        <f>HYPERLINK(CONCATENATE(TabelleURL!$B$1,"332_ADIF/332OP04ZI.pdf"), "332OP04/0/ZI")</f>
        <v>332OP04/0/ZI</v>
      </c>
      <c r="M500" s="5" t="str">
        <f>HYPERLINK(CONCATENATE(TabelleURL!$B$1,"345_Signalbox/3450256.pdf"), "3450256")</f>
        <v>3450256</v>
      </c>
      <c r="T500" s="63"/>
      <c r="U500" s="5"/>
      <c r="W500" s="5"/>
      <c r="X500" s="17"/>
      <c r="Y500" s="8"/>
      <c r="AC500" s="18"/>
      <c r="AH500" s="4" t="str">
        <f>HYPERLINK(CONCATENATE(TabelleURL!$B$1,"346_CAN2com/3475834.pdf"), "3475834")</f>
        <v>3475834</v>
      </c>
    </row>
    <row r="501" spans="1:44" ht="25.5">
      <c r="A501" s="1" t="s">
        <v>746</v>
      </c>
      <c r="B501" s="1" t="s">
        <v>779</v>
      </c>
      <c r="C501" s="1" t="s">
        <v>774</v>
      </c>
      <c r="D501" s="1" t="s">
        <v>92</v>
      </c>
      <c r="G501" s="2" t="str">
        <f>HYPERLINK(CONCATENATE(TabelleURL!$B$1,"32_ADIF/332RE01.pdf"), "332RE01KA")</f>
        <v>332RE01KA</v>
      </c>
      <c r="I501" s="2" t="str">
        <f>HYPERLINK(CONCATENATE(TabelleURL!$B$1,"342_ADIF/342RE01ZI.pdf"), "342RE01/0/ZI")</f>
        <v>342RE01/0/ZI</v>
      </c>
      <c r="T501" s="63"/>
      <c r="U501" s="5"/>
      <c r="W501" s="5"/>
      <c r="X501" s="17"/>
      <c r="Y501" s="8"/>
      <c r="AB501" s="2" t="s">
        <v>780</v>
      </c>
      <c r="AC501" s="18"/>
    </row>
    <row r="502" spans="1:44">
      <c r="A502" s="1" t="s">
        <v>746</v>
      </c>
      <c r="B502" s="1" t="s">
        <v>779</v>
      </c>
      <c r="C502" s="1" t="s">
        <v>748</v>
      </c>
      <c r="D502" s="1" t="s">
        <v>27</v>
      </c>
      <c r="G502" s="2" t="str">
        <f>HYPERLINK(CONCATENATE(TabelleURL!$B$1,"32_ADIF/332RE01.pdf"), "332RE01KA")</f>
        <v>332RE01KA</v>
      </c>
      <c r="I502" s="2" t="str">
        <f>HYPERLINK(CONCATENATE(TabelleURL!$B$1,"342_ADIF/342RE01ZI.pdf"), "342RE01/0/ZI")</f>
        <v>342RE01/0/ZI</v>
      </c>
      <c r="M502" s="5" t="str">
        <f>HYPERLINK(CONCATENATE(TabelleURL!$B$1,"345_Signalbox/3450267.pdf"), "3450267")</f>
        <v>3450267</v>
      </c>
      <c r="T502" s="63"/>
      <c r="U502" s="5"/>
      <c r="W502" s="5"/>
      <c r="X502" s="17"/>
      <c r="Y502" s="8"/>
      <c r="AC502" s="18"/>
    </row>
    <row r="503" spans="1:44">
      <c r="A503" s="1" t="s">
        <v>746</v>
      </c>
      <c r="B503" s="1" t="s">
        <v>781</v>
      </c>
      <c r="C503" s="1" t="s">
        <v>748</v>
      </c>
      <c r="D503" s="1" t="s">
        <v>782</v>
      </c>
      <c r="R503" s="66" t="s">
        <v>45</v>
      </c>
      <c r="S503" s="67" t="s">
        <v>755</v>
      </c>
      <c r="T503" s="63"/>
      <c r="U503" s="5"/>
      <c r="W503" s="5" t="s">
        <v>755</v>
      </c>
      <c r="X503" s="17"/>
      <c r="Y503" s="8"/>
      <c r="AB503" s="2" t="s">
        <v>55</v>
      </c>
      <c r="AC503" s="18"/>
    </row>
    <row r="504" spans="1:44">
      <c r="A504" s="1" t="s">
        <v>746</v>
      </c>
      <c r="B504" s="1" t="s">
        <v>783</v>
      </c>
      <c r="D504" s="1" t="s">
        <v>784</v>
      </c>
      <c r="G504" s="2" t="str">
        <f>HYPERLINK(CONCATENATE(TabelleURL!$B$1,"332_ADIF/332OP02.pdf"), "332OP02KA")</f>
        <v>332OP02KA</v>
      </c>
      <c r="T504" s="63"/>
      <c r="U504" s="5"/>
      <c r="W504" s="5"/>
      <c r="X504" s="17"/>
      <c r="Y504" s="8"/>
      <c r="AC504" s="18"/>
      <c r="AF504" s="8" t="str">
        <f>HYPERLINK(CONCATENATE(TabelleURL!$B$1,"350_RICI_PDC_OBI/B-3504701 RICI HS_D_E.pdf"), "B-3504701")</f>
        <v>B-3504701</v>
      </c>
    </row>
    <row r="505" spans="1:44">
      <c r="A505" s="1" t="s">
        <v>746</v>
      </c>
      <c r="B505" s="1" t="s">
        <v>785</v>
      </c>
      <c r="D505" s="1" t="s">
        <v>786</v>
      </c>
      <c r="R505" s="66" t="s">
        <v>45</v>
      </c>
      <c r="S505" s="67" t="s">
        <v>755</v>
      </c>
      <c r="T505" s="63"/>
      <c r="U505" s="5"/>
      <c r="W505" s="5" t="s">
        <v>755</v>
      </c>
      <c r="X505" s="17"/>
      <c r="Y505" s="8"/>
      <c r="AC505" s="18"/>
    </row>
    <row r="506" spans="1:44">
      <c r="A506" s="1" t="s">
        <v>746</v>
      </c>
      <c r="B506" s="1" t="s">
        <v>787</v>
      </c>
      <c r="C506" s="1" t="s">
        <v>748</v>
      </c>
      <c r="D506" s="1" t="s">
        <v>631</v>
      </c>
      <c r="R506" s="66" t="s">
        <v>45</v>
      </c>
      <c r="S506" s="67" t="s">
        <v>755</v>
      </c>
      <c r="T506" s="63"/>
      <c r="U506" s="5"/>
      <c r="W506" s="5" t="s">
        <v>755</v>
      </c>
      <c r="X506" s="17"/>
      <c r="Y506" s="8"/>
      <c r="AC506" s="18"/>
    </row>
    <row r="507" spans="1:44">
      <c r="A507" s="1" t="s">
        <v>746</v>
      </c>
      <c r="B507" s="1" t="s">
        <v>787</v>
      </c>
      <c r="C507" s="1" t="s">
        <v>763</v>
      </c>
      <c r="D507" s="1" t="s">
        <v>13</v>
      </c>
      <c r="G507" s="2" t="str">
        <f>HYPERLINK(CONCATENATE(TabelleURL!$B$1,"332_ADIF/332OP02.pdf"), "332OP02KA")</f>
        <v>332OP02KA</v>
      </c>
      <c r="M507" s="5" t="str">
        <f>HYPERLINK(CONCATENATE(TabelleURL!$B$1,"345_Signalbox/3450268.pdf"), "3450268")</f>
        <v>3450268</v>
      </c>
      <c r="T507" s="63"/>
      <c r="U507" s="5"/>
      <c r="W507" s="5"/>
      <c r="X507" s="17"/>
      <c r="Y507" s="8"/>
      <c r="AB507" s="2" t="s">
        <v>55</v>
      </c>
      <c r="AC507" s="18"/>
      <c r="AF507" s="8" t="str">
        <f>HYPERLINK(CONCATENATE(TabelleURL!$B$1,"350_RICI_PDC_OBI/B-3504701 RICI HS_D_E.pdf"), "B-3504701")</f>
        <v>B-3504701</v>
      </c>
    </row>
    <row r="508" spans="1:44">
      <c r="A508" s="1" t="s">
        <v>746</v>
      </c>
      <c r="B508" s="1" t="s">
        <v>787</v>
      </c>
      <c r="C508" s="1" t="s">
        <v>763</v>
      </c>
      <c r="D508" s="1" t="s">
        <v>269</v>
      </c>
      <c r="G508" s="2" t="str">
        <f>HYPERLINK(CONCATENATE(TabelleURL!$B$1,"332_ADIF/332OP02.pdf"), "332OP02KA")</f>
        <v>332OP02KA</v>
      </c>
      <c r="M508" s="5" t="str">
        <f>HYPERLINK(CONCATENATE(TabelleURL!$B$1,"345_Signalbox/3450268.pdf"), "3450268")</f>
        <v>3450268</v>
      </c>
      <c r="T508" s="63">
        <v>3470004</v>
      </c>
      <c r="U508" s="5" t="s">
        <v>51</v>
      </c>
      <c r="W508" s="5"/>
      <c r="X508" s="17"/>
      <c r="Y508" s="8"/>
      <c r="AC508" s="18"/>
      <c r="AF508" s="8" t="str">
        <f>HYPERLINK(CONCATENATE(TabelleURL!$B$1,"350_RICI_PDC_OBI/B-3504701 RICI HS_D_E.pdf"), "B-3504701")</f>
        <v>B-3504701</v>
      </c>
    </row>
    <row r="509" spans="1:44">
      <c r="A509" s="1" t="s">
        <v>746</v>
      </c>
      <c r="B509" s="1" t="s">
        <v>788</v>
      </c>
      <c r="C509" s="1" t="s">
        <v>774</v>
      </c>
      <c r="D509" s="1" t="s">
        <v>112</v>
      </c>
      <c r="G509" s="2" t="str">
        <f>HYPERLINK(CONCATENATE(TabelleURL!$B$1,"342_ADIF/342OP02.pdf"), "342RE02/0")</f>
        <v>342RE02/0</v>
      </c>
      <c r="M509" s="5" t="str">
        <f>HYPERLINK(CONCATENATE(TabelleURL!$B$1,"345_Signalbox/3450263.pdf"), "3450263")</f>
        <v>3450263</v>
      </c>
      <c r="T509" s="63"/>
      <c r="U509" s="5"/>
      <c r="W509" s="5"/>
      <c r="X509" s="17"/>
      <c r="Y509" s="8"/>
      <c r="AC509" s="18"/>
      <c r="AQ509" s="7" t="s">
        <v>789</v>
      </c>
      <c r="AR509" s="3" t="s">
        <v>790</v>
      </c>
    </row>
    <row r="510" spans="1:44">
      <c r="A510" s="1" t="s">
        <v>746</v>
      </c>
      <c r="B510" s="1" t="s">
        <v>788</v>
      </c>
      <c r="C510" s="1" t="s">
        <v>791</v>
      </c>
      <c r="D510" s="1" t="s">
        <v>354</v>
      </c>
      <c r="G510" s="2" t="str">
        <f>HYPERLINK(CONCATENATE(TabelleURL!$B$1,"342_ADIF/342OP02.pdf"), "342RE02/0")</f>
        <v>342RE02/0</v>
      </c>
      <c r="M510" s="5" t="str">
        <f>HYPERLINK(CONCATENATE(TabelleURL!$B$1,"345_Signalbox/3450263.pdf"), "3450263")</f>
        <v>3450263</v>
      </c>
      <c r="T510" s="63">
        <v>3470004</v>
      </c>
      <c r="U510" s="5" t="s">
        <v>51</v>
      </c>
      <c r="W510" s="5"/>
      <c r="X510" s="17"/>
      <c r="Y510" s="8"/>
      <c r="AC510" s="18"/>
      <c r="AQ510" s="7" t="s">
        <v>789</v>
      </c>
      <c r="AR510" s="3" t="s">
        <v>790</v>
      </c>
    </row>
    <row r="511" spans="1:44">
      <c r="A511" s="1" t="s">
        <v>746</v>
      </c>
      <c r="B511" s="1" t="s">
        <v>788</v>
      </c>
      <c r="C511" s="1" t="s">
        <v>748</v>
      </c>
      <c r="D511" s="1" t="s">
        <v>116</v>
      </c>
      <c r="G511" s="2" t="str">
        <f>HYPERLINK(CONCATENATE(TabelleURL!$B$1,"332_ADIF/332RE03.pdf"), "332RE03")</f>
        <v>332RE03</v>
      </c>
      <c r="M511" s="5" t="str">
        <f>HYPERLINK(CONCATENATE(TabelleURL!$B$1,"345_Signalbox/3450271.pdf"), "3450271")</f>
        <v>3450271</v>
      </c>
      <c r="T511" s="63"/>
      <c r="U511" s="5"/>
      <c r="W511" s="5"/>
      <c r="X511" s="17"/>
      <c r="Y511" s="8"/>
      <c r="AC511" s="18"/>
    </row>
    <row r="512" spans="1:44">
      <c r="A512" s="1" t="s">
        <v>746</v>
      </c>
      <c r="B512" s="1" t="s">
        <v>792</v>
      </c>
      <c r="C512" s="1" t="s">
        <v>774</v>
      </c>
      <c r="D512" s="1" t="s">
        <v>38</v>
      </c>
      <c r="R512" s="66" t="s">
        <v>45</v>
      </c>
      <c r="S512" s="67" t="s">
        <v>755</v>
      </c>
      <c r="T512" s="63"/>
      <c r="U512" s="5"/>
      <c r="W512" s="5" t="s">
        <v>755</v>
      </c>
      <c r="X512" s="17"/>
      <c r="Y512" s="8"/>
      <c r="AB512" s="2" t="s">
        <v>55</v>
      </c>
      <c r="AC512" s="18"/>
    </row>
    <row r="513" spans="1:44">
      <c r="A513" s="1" t="s">
        <v>746</v>
      </c>
      <c r="B513" s="1" t="s">
        <v>792</v>
      </c>
      <c r="C513" s="1" t="s">
        <v>748</v>
      </c>
      <c r="D513" s="1" t="s">
        <v>601</v>
      </c>
      <c r="G513" s="2" t="str">
        <f>HYPERLINK(CONCATENATE(TabelleURL!$B$1,"332_ADIF/332OP02.pdf"), "332OP02KA")</f>
        <v>332OP02KA</v>
      </c>
      <c r="M513" s="5" t="str">
        <f>HYPERLINK(CONCATENATE(TabelleURL!$B$1,"345_Signalbox/3450268.pdf"), "3450268")</f>
        <v>3450268</v>
      </c>
      <c r="T513" s="63">
        <v>3470004</v>
      </c>
      <c r="U513" s="5" t="s">
        <v>51</v>
      </c>
      <c r="W513" s="5"/>
      <c r="X513" s="17"/>
      <c r="Y513" s="8"/>
      <c r="AC513" s="18"/>
      <c r="AF513" s="8" t="str">
        <f>HYPERLINK(CONCATENATE(TabelleURL!$B$1,"350_RICI_PDC_OBI/B-3504701 RICI HS_D_E.pdf"), "B-3504701")</f>
        <v>B-3504701</v>
      </c>
      <c r="AR513" s="3" t="s">
        <v>757</v>
      </c>
    </row>
    <row r="514" spans="1:44">
      <c r="A514" s="1" t="s">
        <v>750</v>
      </c>
      <c r="B514" s="1" t="s">
        <v>792</v>
      </c>
      <c r="C514" s="1" t="s">
        <v>763</v>
      </c>
      <c r="D514" s="1" t="s">
        <v>86</v>
      </c>
      <c r="E514" s="76" t="s">
        <v>214</v>
      </c>
      <c r="F514" s="70" t="s">
        <v>793</v>
      </c>
      <c r="G514" s="2" t="str">
        <f>HYPERLINK(CONCATENATE(TabelleURL!$B$1,"332_ADIF/332OP04.pdf"), "332OP04KA")</f>
        <v>332OP04KA</v>
      </c>
      <c r="I514" s="2" t="str">
        <f>HYPERLINK(CONCATENATE(TabelleURL!$B$1,"332_ADIF/332OP04ZI.pdf"), "332OP04/0/ZI")</f>
        <v>332OP04/0/ZI</v>
      </c>
      <c r="T514" s="63"/>
      <c r="U514" s="5"/>
      <c r="W514" s="5"/>
      <c r="X514" s="17"/>
      <c r="Y514" s="8"/>
      <c r="AC514" s="18"/>
      <c r="AH514" s="4" t="str">
        <f>HYPERLINK(CONCATENATE(TabelleURL!$B$1,"346_CAN2com/3475834.pdf"), "3475834")</f>
        <v>3475834</v>
      </c>
      <c r="AI514" s="5" t="str">
        <f>HYPERLINK(CONCATENATE(TabelleURL!$B$1,"3499_Taxi/34990084.pdf"), "34990084")</f>
        <v>34990084</v>
      </c>
    </row>
    <row r="515" spans="1:44">
      <c r="A515" s="1" t="s">
        <v>750</v>
      </c>
      <c r="B515" s="1" t="s">
        <v>792</v>
      </c>
      <c r="C515" s="1" t="s">
        <v>763</v>
      </c>
      <c r="D515" s="1" t="s">
        <v>86</v>
      </c>
      <c r="E515" s="76" t="s">
        <v>215</v>
      </c>
      <c r="F515" s="70" t="s">
        <v>793</v>
      </c>
      <c r="G515" s="2" t="str">
        <f>HYPERLINK(CONCATENATE(TabelleURL!$B$1,"332_ADIF/332OP04.pdf"), "332OP04KA")</f>
        <v>332OP04KA</v>
      </c>
      <c r="I515" s="2" t="str">
        <f>HYPERLINK(CONCATENATE(TabelleURL!$B$1,"332_ADIF/332OP04ZI.pdf"), "332OP04/0/ZI")</f>
        <v>332OP04/0/ZI</v>
      </c>
      <c r="T515" s="63"/>
      <c r="U515" s="5"/>
      <c r="W515" s="5"/>
      <c r="X515" s="17"/>
      <c r="Y515" s="8"/>
      <c r="AC515" s="18"/>
      <c r="AH515" s="4" t="str">
        <f>HYPERLINK(CONCATENATE(TabelleURL!$B$1,"346_CAN2com/3475834.pdf"), "3475834")</f>
        <v>3475834</v>
      </c>
      <c r="AI515" s="5" t="str">
        <f>HYPERLINK(CONCATENATE(TabelleURL!$B$1,"3499_Taxi/34990084.pdf"), "34990084")</f>
        <v>34990084</v>
      </c>
    </row>
    <row r="516" spans="1:44">
      <c r="A516" s="1" t="s">
        <v>794</v>
      </c>
      <c r="B516" s="1">
        <v>107</v>
      </c>
      <c r="D516" s="1" t="s">
        <v>119</v>
      </c>
      <c r="T516" s="63"/>
      <c r="U516" s="5"/>
      <c r="W516" s="5"/>
      <c r="X516" s="17"/>
      <c r="Y516" s="8"/>
      <c r="AC516" s="18"/>
    </row>
    <row r="517" spans="1:44">
      <c r="A517" s="1" t="s">
        <v>794</v>
      </c>
      <c r="B517" s="1">
        <v>207</v>
      </c>
      <c r="D517" s="82" t="s">
        <v>1375</v>
      </c>
      <c r="G517" s="2" t="str">
        <f>HYPERLINK(CONCATENATE(TabelleURL!$B$1,"332_ADIF/332CI05.pdf"), "332CI05KA")</f>
        <v>332CI05KA</v>
      </c>
      <c r="M517" s="5" t="str">
        <f>HYPERLINK(CONCATENATE(TabelleURL!$B$1,"345_Signalbox/3450264.pdf"), "3450264")</f>
        <v>3450264</v>
      </c>
      <c r="R517" s="66" t="s">
        <v>11</v>
      </c>
      <c r="S517" s="67" t="s">
        <v>239</v>
      </c>
      <c r="T517" s="63">
        <v>3470006</v>
      </c>
      <c r="U517" s="5" t="s">
        <v>240</v>
      </c>
      <c r="V517" s="4" t="s">
        <v>239</v>
      </c>
      <c r="W517" s="5"/>
      <c r="X517" s="17" t="s">
        <v>11</v>
      </c>
      <c r="Y517" s="8" t="s">
        <v>241</v>
      </c>
      <c r="AC517" s="18" t="s">
        <v>11</v>
      </c>
      <c r="AD517" s="4" t="str">
        <f>HYPERLINK(CONCATENATE(TabelleURL!$B$1,"367/3674212-PDC.pdf"), "3674212-PDC")</f>
        <v>3674212-PDC</v>
      </c>
      <c r="AF517" s="8" t="str">
        <f>HYPERLINK(CONCATENATE(TabelleURL!$B$1,"340_Helfer/3404700.pdf"), "B-3404700")</f>
        <v>B-3404700</v>
      </c>
      <c r="AL517" s="3" t="s">
        <v>7</v>
      </c>
      <c r="AP517" s="2" t="str">
        <f>HYPERLINK(CONCATENATE(TabelleURL!$B$1,"367/3674700.pdf"), "3674700")</f>
        <v>3674700</v>
      </c>
    </row>
    <row r="518" spans="1:44">
      <c r="A518" s="1" t="s">
        <v>794</v>
      </c>
      <c r="B518" s="1">
        <v>208</v>
      </c>
      <c r="D518" s="82" t="s">
        <v>61</v>
      </c>
      <c r="F518" s="70" t="s">
        <v>239</v>
      </c>
      <c r="G518" s="2" t="str">
        <f>HYPERLINK(CONCATENATE(TabelleURL!$B$1,"332_ADIF/332CI05.pdf"), "332CI05KA")</f>
        <v>332CI05KA</v>
      </c>
      <c r="M518" s="5" t="str">
        <f>HYPERLINK(CONCATENATE(TabelleURL!$B$1,"345_Signalbox/3450264.pdf"), "3450264")</f>
        <v>3450264</v>
      </c>
      <c r="T518" s="63"/>
      <c r="U518" s="5"/>
      <c r="W518" s="5"/>
      <c r="X518" s="17"/>
      <c r="Y518" s="8"/>
      <c r="AC518" s="18"/>
      <c r="AH518" s="4" t="str">
        <f>HYPERLINK(CONCATENATE(TabelleURL!$B$1,"346_CAN2com/346300XX.pdf"), "34630015")</f>
        <v>34630015</v>
      </c>
      <c r="AI518" s="5" t="str">
        <f>HYPERLINK(CONCATENATE(TabelleURL!$B$1,"3499_Taxi/34990023.pdf"), "34990023")</f>
        <v>34990023</v>
      </c>
    </row>
    <row r="519" spans="1:44">
      <c r="A519" s="1" t="s">
        <v>794</v>
      </c>
      <c r="B519" s="1">
        <v>307</v>
      </c>
      <c r="D519" s="1" t="s">
        <v>268</v>
      </c>
      <c r="G519" s="2" t="str">
        <f>HYPERLINK(CONCATENATE(TabelleURL!$B$1,"332_ADIF/332CI05.pdf"), "332CI05KA")</f>
        <v>332CI05KA</v>
      </c>
      <c r="M519" s="5" t="str">
        <f>HYPERLINK(CONCATENATE(TabelleURL!$B$1,"345_Signalbox/3450264.pdf"), "3450264")</f>
        <v>3450264</v>
      </c>
      <c r="R519" s="66" t="s">
        <v>6</v>
      </c>
      <c r="T519" s="63"/>
      <c r="U519" s="5"/>
      <c r="W519" s="5"/>
      <c r="X519" s="17"/>
      <c r="Y519" s="8"/>
      <c r="AC519" s="18"/>
      <c r="AF519" s="8" t="str">
        <f>HYPERLINK(CONCATENATE(TabelleURL!$B$1,"340_Helfer/3404700.pdf"), "B-3404700")</f>
        <v>B-3404700</v>
      </c>
      <c r="AG519" s="2" t="str">
        <f>HYPERLINK(CONCATENATE(TabelleURL!$B$1,"340_Helfer/3404701.pdf"), "3404701")</f>
        <v>3404701</v>
      </c>
      <c r="AI519" s="5" t="str">
        <f>HYPERLINK(CONCATENATE(TabelleURL!$B$1,"3499_Taxi/34990023.pdf"), "34990023")</f>
        <v>34990023</v>
      </c>
      <c r="AL519" s="3" t="s">
        <v>7</v>
      </c>
      <c r="AP519" s="2" t="str">
        <f>HYPERLINK(CONCATENATE(TabelleURL!$B$1,"367/3674700.pdf"), "3674700")</f>
        <v>3674700</v>
      </c>
    </row>
    <row r="520" spans="1:44">
      <c r="A520" s="1" t="s">
        <v>794</v>
      </c>
      <c r="B520" s="1">
        <v>307</v>
      </c>
      <c r="D520" s="1" t="s">
        <v>269</v>
      </c>
      <c r="G520" s="2" t="str">
        <f>HYPERLINK(CONCATENATE(TabelleURL!$B$1,"332_ADIF/332CI05.pdf"), "332CI05KA")</f>
        <v>332CI05KA</v>
      </c>
      <c r="M520" s="5" t="str">
        <f>HYPERLINK(CONCATENATE(TabelleURL!$B$1,"345_Signalbox/3450264.pdf"), "3450264")</f>
        <v>3450264</v>
      </c>
      <c r="R520" s="66" t="s">
        <v>11</v>
      </c>
      <c r="S520" s="67" t="s">
        <v>239</v>
      </c>
      <c r="T520" s="63">
        <v>3470006</v>
      </c>
      <c r="U520" s="5" t="s">
        <v>240</v>
      </c>
      <c r="V520" s="4" t="s">
        <v>239</v>
      </c>
      <c r="W520" s="5"/>
      <c r="X520" s="17" t="s">
        <v>11</v>
      </c>
      <c r="Y520" s="8" t="s">
        <v>241</v>
      </c>
      <c r="AC520" s="18" t="s">
        <v>11</v>
      </c>
      <c r="AD520" s="4" t="str">
        <f>HYPERLINK(CONCATENATE(TabelleURL!$B$1,"367/3674212-PDC.pdf"), "3674212-PDC")</f>
        <v>3674212-PDC</v>
      </c>
      <c r="AF520" s="8" t="str">
        <f>HYPERLINK(CONCATENATE(TabelleURL!$B$1,"340_Helfer/3404700.pdf"), "B-3404700")</f>
        <v>B-3404700</v>
      </c>
      <c r="AG520" s="2" t="str">
        <f>HYPERLINK(CONCATENATE(TabelleURL!$B$1,"340_Helfer/3404701.pdf"), "3404701")</f>
        <v>3404701</v>
      </c>
      <c r="AI520" s="5" t="str">
        <f>HYPERLINK(CONCATENATE(TabelleURL!$B$1,"3499_Taxi/34990023.pdf"), "34990023")</f>
        <v>34990023</v>
      </c>
      <c r="AL520" s="3" t="s">
        <v>7</v>
      </c>
      <c r="AP520" s="2" t="str">
        <f>HYPERLINK(CONCATENATE(TabelleURL!$B$1,"367/3674700.pdf"), "3674700")</f>
        <v>3674700</v>
      </c>
    </row>
    <row r="521" spans="1:44">
      <c r="A521" s="1" t="s">
        <v>794</v>
      </c>
      <c r="B521" s="1">
        <v>308</v>
      </c>
      <c r="D521" s="1" t="s">
        <v>298</v>
      </c>
      <c r="G521" s="2" t="str">
        <f>HYPERLINK(CONCATENATE(TabelleURL!$B$1,"332_ADIF/332CI05.pdf"), "332CI05KA")</f>
        <v>332CI05KA</v>
      </c>
      <c r="M521" s="5" t="str">
        <f>HYPERLINK(CONCATENATE(TabelleURL!$B$1,"345_Signalbox/3450264.pdf"), "3450264")</f>
        <v>3450264</v>
      </c>
      <c r="R521" s="66" t="s">
        <v>11</v>
      </c>
      <c r="S521" s="67" t="s">
        <v>239</v>
      </c>
      <c r="T521" s="63">
        <v>3470006</v>
      </c>
      <c r="U521" s="5" t="s">
        <v>240</v>
      </c>
      <c r="V521" s="4" t="s">
        <v>239</v>
      </c>
      <c r="W521" s="5"/>
      <c r="X521" s="17" t="s">
        <v>11</v>
      </c>
      <c r="Y521" s="8" t="s">
        <v>241</v>
      </c>
      <c r="AC521" s="18" t="s">
        <v>11</v>
      </c>
      <c r="AD521" s="4" t="str">
        <f>HYPERLINK(CONCATENATE(TabelleURL!$B$1,"367/3674212-PDC.pdf"), "3674212-PDC")</f>
        <v>3674212-PDC</v>
      </c>
      <c r="AF521" s="8" t="str">
        <f>HYPERLINK(CONCATENATE(TabelleURL!$B$1,"340_Helfer/3404700.pdf"), "B-3404700")</f>
        <v>B-3404700</v>
      </c>
      <c r="AG521" s="2" t="str">
        <f>HYPERLINK(CONCATENATE(TabelleURL!$B$1,"340_Helfer/3404701.pdf"), "3404701")</f>
        <v>3404701</v>
      </c>
      <c r="AH521" s="4" t="str">
        <f>HYPERLINK(CONCATENATE(TabelleURL!$B$1,"346_CAN2com/346300XX.pdf"), "34630015")</f>
        <v>34630015</v>
      </c>
      <c r="AI521" s="5" t="str">
        <f>HYPERLINK(CONCATENATE(TabelleURL!$B$1,"3499_Taxi/34990023.pdf"), "34990023")</f>
        <v>34990023</v>
      </c>
      <c r="AL521" s="3" t="s">
        <v>7</v>
      </c>
      <c r="AP521" s="2" t="str">
        <f>HYPERLINK(CONCATENATE(TabelleURL!$B$1,"367/3674700.pdf"), "3674700")</f>
        <v>3674700</v>
      </c>
    </row>
    <row r="522" spans="1:44">
      <c r="A522" s="1" t="s">
        <v>794</v>
      </c>
      <c r="B522" s="1">
        <v>308</v>
      </c>
      <c r="D522" s="1" t="s">
        <v>500</v>
      </c>
      <c r="G522" s="2" t="str">
        <f>HYPERLINK(CONCATENATE(TabelleURL!$B$1,"332_ADIF/332CI05.pdf"), "332CI05KA")</f>
        <v>332CI05KA</v>
      </c>
      <c r="R522" s="66" t="s">
        <v>6</v>
      </c>
      <c r="T522" s="63"/>
      <c r="U522" s="5"/>
      <c r="W522" s="5"/>
      <c r="X522" s="17"/>
      <c r="Y522" s="8"/>
      <c r="AC522" s="18"/>
      <c r="AF522" s="8" t="str">
        <f>HYPERLINK(CONCATENATE(TabelleURL!$B$1,"340_Helfer/3404700.pdf"), "B-3404700")</f>
        <v>B-3404700</v>
      </c>
      <c r="AG522" s="2" t="str">
        <f>HYPERLINK(CONCATENATE(TabelleURL!$B$1,"340_Helfer/3404701.pdf"), "3404701")</f>
        <v>3404701</v>
      </c>
      <c r="AL522" s="3" t="s">
        <v>7</v>
      </c>
      <c r="AP522" s="2" t="str">
        <f>HYPERLINK(CONCATENATE(TabelleURL!$B$1,"367/3674700.pdf"), "3674700")</f>
        <v>3674700</v>
      </c>
    </row>
    <row r="523" spans="1:44">
      <c r="A523" s="1" t="s">
        <v>794</v>
      </c>
      <c r="B523" s="1">
        <v>308</v>
      </c>
      <c r="D523" s="1" t="s">
        <v>19</v>
      </c>
      <c r="F523" s="70" t="s">
        <v>239</v>
      </c>
      <c r="G523" s="2" t="str">
        <f>HYPERLINK(CONCATENATE(TabelleURL!$B$1,"332_ADIF/332CI05.pdf"), "332CI05KA")</f>
        <v>332CI05KA</v>
      </c>
      <c r="M523" s="5" t="str">
        <f>HYPERLINK(CONCATENATE(TabelleURL!$B$1,"345_Signalbox/3450264.pdf"), "3450264")</f>
        <v>3450264</v>
      </c>
      <c r="T523" s="63"/>
      <c r="U523" s="5"/>
      <c r="W523" s="5"/>
      <c r="X523" s="17"/>
      <c r="Y523" s="8"/>
      <c r="AC523" s="18"/>
      <c r="AH523" s="4" t="str">
        <f>HYPERLINK(CONCATENATE(TabelleURL!$B$1,"346_CAN2com/346300XX.pdf"), "34630015")</f>
        <v>34630015</v>
      </c>
      <c r="AI523" s="5" t="str">
        <f>HYPERLINK(CONCATENATE(TabelleURL!$B$1,"3499_Taxi/34990023.pdf"), "34990023")</f>
        <v>34990023</v>
      </c>
    </row>
    <row r="524" spans="1:44">
      <c r="A524" s="1" t="s">
        <v>794</v>
      </c>
      <c r="B524" s="1">
        <v>407</v>
      </c>
      <c r="D524" s="1" t="s">
        <v>795</v>
      </c>
      <c r="F524" s="70" t="s">
        <v>796</v>
      </c>
      <c r="G524" s="2" t="str">
        <f>HYPERLINK(CONCATENATE(TabelleURL!$B$1,"332_ADIF/332CI05.pdf"), "332CI05KA")</f>
        <v>332CI05KA</v>
      </c>
      <c r="M524" s="5" t="str">
        <f>HYPERLINK(CONCATENATE(TabelleURL!$B$1,"345_Signalbox/3450264.pdf"), "3450264")</f>
        <v>3450264</v>
      </c>
      <c r="R524" s="66" t="s">
        <v>11</v>
      </c>
      <c r="S524" s="67" t="s">
        <v>239</v>
      </c>
      <c r="T524" s="63">
        <v>3470006</v>
      </c>
      <c r="U524" s="5" t="s">
        <v>240</v>
      </c>
      <c r="V524" s="4" t="s">
        <v>239</v>
      </c>
      <c r="W524" s="5"/>
      <c r="X524" s="17" t="s">
        <v>11</v>
      </c>
      <c r="Y524" s="8" t="s">
        <v>241</v>
      </c>
      <c r="AC524" s="18" t="s">
        <v>11</v>
      </c>
      <c r="AD524" s="4" t="str">
        <f>HYPERLINK(CONCATENATE(TabelleURL!$B$1,"367/3674212-PDC.pdf"), "3674212-PDC")</f>
        <v>3674212-PDC</v>
      </c>
      <c r="AF524" s="8" t="str">
        <f>HYPERLINK(CONCATENATE(TabelleURL!$B$1,"340_Helfer/3404700.pdf"), "B-3404700")</f>
        <v>B-3404700</v>
      </c>
      <c r="AG524" s="2" t="str">
        <f>HYPERLINK(CONCATENATE(TabelleURL!$B$1,"340_Helfer/3404701.pdf"), "3404701")</f>
        <v>3404701</v>
      </c>
      <c r="AI524" s="5" t="str">
        <f>HYPERLINK(CONCATENATE(TabelleURL!$B$1,"3499_Taxi/34990023.pdf"), "34990023")</f>
        <v>34990023</v>
      </c>
      <c r="AL524" s="3" t="s">
        <v>7</v>
      </c>
      <c r="AP524" s="2" t="str">
        <f>HYPERLINK(CONCATENATE(TabelleURL!$B$1,"367/3674700.pdf"), "3674700")</f>
        <v>3674700</v>
      </c>
    </row>
    <row r="525" spans="1:44">
      <c r="A525" s="1" t="s">
        <v>794</v>
      </c>
      <c r="B525" s="1">
        <v>407</v>
      </c>
      <c r="D525" s="1" t="s">
        <v>797</v>
      </c>
      <c r="F525" s="70" t="s">
        <v>796</v>
      </c>
      <c r="G525" s="2" t="str">
        <f>HYPERLINK(CONCATENATE(TabelleURL!$B$1,"332_ADIF/332CI05.pdf"), "332CI05KA")</f>
        <v>332CI05KA</v>
      </c>
      <c r="M525" s="5" t="str">
        <f>HYPERLINK(CONCATENATE(TabelleURL!$B$1,"345_Signalbox/3450264.pdf"), "3450264")</f>
        <v>3450264</v>
      </c>
      <c r="R525" s="66" t="s">
        <v>11</v>
      </c>
      <c r="S525" s="67" t="s">
        <v>239</v>
      </c>
      <c r="T525" s="63">
        <v>3470006</v>
      </c>
      <c r="U525" s="5" t="s">
        <v>240</v>
      </c>
      <c r="V525" s="4" t="s">
        <v>239</v>
      </c>
      <c r="W525" s="5"/>
      <c r="X525" s="17" t="s">
        <v>11</v>
      </c>
      <c r="Y525" s="8" t="s">
        <v>241</v>
      </c>
      <c r="AC525" s="18" t="s">
        <v>11</v>
      </c>
      <c r="AD525" s="4" t="str">
        <f>HYPERLINK(CONCATENATE(TabelleURL!$B$1,"367/3674212-PDC.pdf"), "3674212-PDC")</f>
        <v>3674212-PDC</v>
      </c>
      <c r="AF525" s="8" t="str">
        <f>HYPERLINK(CONCATENATE(TabelleURL!$B$1,"340_Helfer/3404700.pdf"), "B-3404700")</f>
        <v>B-3404700</v>
      </c>
      <c r="AG525" s="2" t="str">
        <f>HYPERLINK(CONCATENATE(TabelleURL!$B$1,"340_Helfer/3404701.pdf"), "3404701")</f>
        <v>3404701</v>
      </c>
      <c r="AI525" s="5" t="str">
        <f>HYPERLINK(CONCATENATE(TabelleURL!$B$1,"3499_Taxi/34990023.pdf"), "34990023")</f>
        <v>34990023</v>
      </c>
      <c r="AL525" s="3" t="s">
        <v>7</v>
      </c>
      <c r="AP525" s="2" t="str">
        <f>HYPERLINK(CONCATENATE(TabelleURL!$B$1,"367/3674700.pdf"), "3674700")</f>
        <v>3674700</v>
      </c>
    </row>
    <row r="526" spans="1:44">
      <c r="A526" s="1" t="s">
        <v>794</v>
      </c>
      <c r="B526" s="1">
        <v>407</v>
      </c>
      <c r="D526" s="1" t="s">
        <v>424</v>
      </c>
      <c r="G526" s="2" t="str">
        <f>HYPERLINK(CONCATENATE(TabelleURL!$B$1,"332_ADIF/332CI05.pdf"), "332CI05KA")</f>
        <v>332CI05KA</v>
      </c>
      <c r="M526" s="5" t="str">
        <f>HYPERLINK(CONCATENATE(TabelleURL!$B$1,"345_Signalbox/3450264.pdf"), "3450264")</f>
        <v>3450264</v>
      </c>
      <c r="R526" s="66" t="s">
        <v>11</v>
      </c>
      <c r="S526" s="67" t="s">
        <v>239</v>
      </c>
      <c r="T526" s="63">
        <v>3470006</v>
      </c>
      <c r="U526" s="5" t="s">
        <v>240</v>
      </c>
      <c r="V526" s="4" t="s">
        <v>239</v>
      </c>
      <c r="W526" s="5"/>
      <c r="X526" s="17" t="s">
        <v>11</v>
      </c>
      <c r="Y526" s="8" t="s">
        <v>241</v>
      </c>
      <c r="AC526" s="18" t="s">
        <v>11</v>
      </c>
      <c r="AD526" s="4" t="str">
        <f>HYPERLINK(CONCATENATE(TabelleURL!$B$1,"367/3674212-PDC.pdf"), "3674212-PDC")</f>
        <v>3674212-PDC</v>
      </c>
      <c r="AF526" s="8" t="str">
        <f>HYPERLINK(CONCATENATE(TabelleURL!$B$1,"340_Helfer/3404700.pdf"), "B-3404700")</f>
        <v>B-3404700</v>
      </c>
      <c r="AG526" s="2" t="str">
        <f>HYPERLINK(CONCATENATE(TabelleURL!$B$1,"340_Helfer/3404701.pdf"), "3404701")</f>
        <v>3404701</v>
      </c>
      <c r="AH526" s="4" t="str">
        <f>HYPERLINK(CONCATENATE(TabelleURL!$B$1,"346_CAN2com/346300XX.pdf"), "34630015")</f>
        <v>34630015</v>
      </c>
      <c r="AI526" s="5" t="str">
        <f>HYPERLINK(CONCATENATE(TabelleURL!$B$1,"3499_Taxi/34990023.pdf"), "34990023")</f>
        <v>34990023</v>
      </c>
      <c r="AL526" s="3" t="s">
        <v>7</v>
      </c>
      <c r="AP526" s="2" t="str">
        <f>HYPERLINK(CONCATENATE(TabelleURL!$B$1,"367/3674700.pdf"), "3674700")</f>
        <v>3674700</v>
      </c>
    </row>
    <row r="527" spans="1:44">
      <c r="A527" s="1" t="s">
        <v>794</v>
      </c>
      <c r="B527" s="1">
        <v>408</v>
      </c>
      <c r="D527" s="1" t="s">
        <v>390</v>
      </c>
      <c r="G527" s="2" t="str">
        <f>HYPERLINK(CONCATENATE(TabelleURL!$B$1,"332_ADIF/332CI05.pdf"), "332CI05KA")</f>
        <v>332CI05KA</v>
      </c>
      <c r="M527" s="5" t="str">
        <f>HYPERLINK(CONCATENATE(TabelleURL!$B$1,"345_Signalbox/3450264.pdf"), "3450264")</f>
        <v>3450264</v>
      </c>
      <c r="R527" s="66" t="s">
        <v>6</v>
      </c>
      <c r="T527" s="63"/>
      <c r="U527" s="5"/>
      <c r="W527" s="5"/>
      <c r="X527" s="17"/>
      <c r="Y527" s="8"/>
      <c r="AC527" s="18"/>
    </row>
    <row r="528" spans="1:44">
      <c r="A528" s="1" t="s">
        <v>794</v>
      </c>
      <c r="B528" s="1">
        <v>408</v>
      </c>
      <c r="D528" s="82" t="s">
        <v>116</v>
      </c>
      <c r="G528" s="2" t="str">
        <f>HYPERLINK(CONCATENATE(TabelleURL!$B$1,"332_ADIF/332CI05.pdf"), "332CI05KA")</f>
        <v>332CI05KA</v>
      </c>
      <c r="M528" s="5" t="str">
        <f>HYPERLINK(CONCATENATE(TabelleURL!$B$1,"345_Signalbox/3450264.pdf"), "3450264")</f>
        <v>3450264</v>
      </c>
      <c r="T528" s="63"/>
      <c r="U528" s="5"/>
      <c r="W528" s="5"/>
      <c r="X528" s="17"/>
      <c r="Y528" s="8"/>
      <c r="AC528" s="18"/>
      <c r="AH528" s="4" t="str">
        <f>HYPERLINK(CONCATENATE(TabelleURL!$B$1,"346_CAN2com/346300XX.pdf"), "34630015")</f>
        <v>34630015</v>
      </c>
      <c r="AI528" s="5" t="str">
        <f>HYPERLINK(CONCATENATE(TabelleURL!$B$1,"3499_Taxi/34990023.pdf"), "34990023")</f>
        <v>34990023</v>
      </c>
    </row>
    <row r="529" spans="1:43">
      <c r="A529" s="1" t="s">
        <v>794</v>
      </c>
      <c r="B529" s="1">
        <v>508</v>
      </c>
      <c r="D529" s="1" t="s">
        <v>27</v>
      </c>
      <c r="G529" s="2" t="str">
        <f>HYPERLINK(CONCATENATE(TabelleURL!$B$1,"332_ADIF/332CI05.pdf"), "332CI05KA")</f>
        <v>332CI05KA</v>
      </c>
      <c r="R529" s="66" t="s">
        <v>11</v>
      </c>
      <c r="S529" s="67" t="s">
        <v>239</v>
      </c>
      <c r="T529" s="63">
        <v>3470006</v>
      </c>
      <c r="U529" s="5" t="s">
        <v>240</v>
      </c>
      <c r="V529" s="4" t="s">
        <v>239</v>
      </c>
      <c r="W529" s="5"/>
      <c r="X529" s="17" t="s">
        <v>11</v>
      </c>
      <c r="Y529" s="8" t="s">
        <v>241</v>
      </c>
      <c r="AC529" s="18" t="s">
        <v>11</v>
      </c>
      <c r="AD529" s="4" t="str">
        <f>HYPERLINK(CONCATENATE(TabelleURL!$B$1,"367/3674212-PDC.pdf"), "3674212-PDC")</f>
        <v>3674212-PDC</v>
      </c>
      <c r="AI529" s="5" t="str">
        <f>HYPERLINK(CONCATENATE(TabelleURL!$B$1,"3499_Taxi/34990025.pdf"), "34990025")</f>
        <v>34990025</v>
      </c>
    </row>
    <row r="530" spans="1:43">
      <c r="A530" s="1" t="s">
        <v>794</v>
      </c>
      <c r="B530" s="1">
        <v>607</v>
      </c>
      <c r="D530" s="1" t="s">
        <v>798</v>
      </c>
      <c r="G530" s="2" t="str">
        <f>HYPERLINK(CONCATENATE(TabelleURL!$B$1,"332_ADIF/332CI05.pdf"), "332CI05KA")</f>
        <v>332CI05KA</v>
      </c>
      <c r="M530" s="5" t="str">
        <f>HYPERLINK(CONCATENATE(TabelleURL!$B$1,"345_Signalbox/3450264.pdf"), "3450264")</f>
        <v>3450264</v>
      </c>
      <c r="T530" s="63"/>
      <c r="U530" s="5"/>
      <c r="W530" s="5"/>
      <c r="X530" s="17"/>
      <c r="Y530" s="8"/>
      <c r="AC530" s="18"/>
      <c r="AF530" s="8" t="str">
        <f>HYPERLINK(CONCATENATE(TabelleURL!$B$1,"340_Helfer/3404700.pdf"), "B-3404700")</f>
        <v>B-3404700</v>
      </c>
      <c r="AG530" s="2" t="str">
        <f>HYPERLINK(CONCATENATE(TabelleURL!$B$1,"340_Helfer/3404701.pdf"), "3404701")</f>
        <v>3404701</v>
      </c>
      <c r="AH530" s="4" t="str">
        <f>HYPERLINK(CONCATENATE(TabelleURL!$B$1,"346_CAN2com/346300XX.pdf"), "34630015")</f>
        <v>34630015</v>
      </c>
      <c r="AL530" s="3" t="s">
        <v>7</v>
      </c>
      <c r="AP530" s="2" t="str">
        <f>HYPERLINK(CONCATENATE(TabelleURL!$B$1,"367/3674700.pdf"), "3674700")</f>
        <v>3674700</v>
      </c>
    </row>
    <row r="531" spans="1:43">
      <c r="A531" s="1" t="s">
        <v>794</v>
      </c>
      <c r="B531" s="1">
        <v>807</v>
      </c>
      <c r="D531" s="1" t="s">
        <v>799</v>
      </c>
      <c r="G531" s="2" t="str">
        <f>HYPERLINK(CONCATENATE(TabelleURL!$B$1,"332_ADIF/332CI05.pdf"), "332CI05KA")</f>
        <v>332CI05KA</v>
      </c>
      <c r="M531" s="5" t="str">
        <f>HYPERLINK(CONCATENATE(TabelleURL!$B$1,"345_Signalbox/3450264.pdf"), "3450264")</f>
        <v>3450264</v>
      </c>
      <c r="R531" s="66" t="s">
        <v>11</v>
      </c>
      <c r="S531" s="67" t="s">
        <v>239</v>
      </c>
      <c r="T531" s="63">
        <v>3470006</v>
      </c>
      <c r="U531" s="5" t="s">
        <v>240</v>
      </c>
      <c r="V531" s="4" t="s">
        <v>239</v>
      </c>
      <c r="W531" s="5"/>
      <c r="X531" s="17" t="s">
        <v>11</v>
      </c>
      <c r="Y531" s="8" t="s">
        <v>241</v>
      </c>
      <c r="AC531" s="18" t="s">
        <v>11</v>
      </c>
      <c r="AD531" s="4" t="str">
        <f>HYPERLINK(CONCATENATE(TabelleURL!$B$1,"367/3674212-PDC.pdf"), "3674212-PDC")</f>
        <v>3674212-PDC</v>
      </c>
      <c r="AF531" s="8" t="str">
        <f>HYPERLINK(CONCATENATE(TabelleURL!$B$1,"340_Helfer/3404700.pdf"), "B-3404700")</f>
        <v>B-3404700</v>
      </c>
      <c r="AG531" s="2" t="str">
        <f>HYPERLINK(CONCATENATE(TabelleURL!$B$1,"340_Helfer/3404701.pdf"), "3404701")</f>
        <v>3404701</v>
      </c>
      <c r="AH531" s="4" t="str">
        <f>HYPERLINK(CONCATENATE(TabelleURL!$B$1,"346_CAN2com/346300XX.pdf"), "34630015")</f>
        <v>34630015</v>
      </c>
      <c r="AL531" s="3" t="s">
        <v>7</v>
      </c>
      <c r="AP531" s="2" t="str">
        <f>HYPERLINK(CONCATENATE(TabelleURL!$B$1,"367/3674700.pdf"), "3674700")</f>
        <v>3674700</v>
      </c>
    </row>
    <row r="532" spans="1:43">
      <c r="A532" s="1" t="s">
        <v>794</v>
      </c>
      <c r="B532" s="1">
        <v>1007</v>
      </c>
      <c r="D532" s="1" t="s">
        <v>442</v>
      </c>
      <c r="G532" s="2" t="str">
        <f>HYPERLINK(CONCATENATE(TabelleURL!$B$1,"342_ADIF/342CI01.pdf"), "342CI01/0")</f>
        <v>342CI01/0</v>
      </c>
      <c r="T532" s="63"/>
      <c r="U532" s="5"/>
      <c r="W532" s="5"/>
      <c r="X532" s="17"/>
      <c r="Y532" s="8"/>
      <c r="AC532" s="18"/>
    </row>
    <row r="533" spans="1:43">
      <c r="A533" s="1" t="s">
        <v>794</v>
      </c>
      <c r="B533" s="1">
        <v>3008</v>
      </c>
      <c r="C533" s="1" t="s">
        <v>219</v>
      </c>
      <c r="D533" s="1" t="s">
        <v>203</v>
      </c>
      <c r="F533" s="70" t="s">
        <v>239</v>
      </c>
      <c r="G533" s="2" t="str">
        <f>HYPERLINK(CONCATENATE(TabelleURL!$B$1,"332_ADIF/332CI05.pdf"), "332CI05KA")</f>
        <v>332CI05KA</v>
      </c>
      <c r="M533" s="5" t="str">
        <f>HYPERLINK(CONCATENATE(TabelleURL!$B$1,"345_Signalbox/3450264.pdf"), "3450264")</f>
        <v>3450264</v>
      </c>
      <c r="T533" s="63"/>
      <c r="U533" s="5"/>
      <c r="W533" s="5"/>
      <c r="X533" s="17"/>
      <c r="Y533" s="8"/>
      <c r="AC533" s="18"/>
      <c r="AH533" s="4" t="str">
        <f>HYPERLINK(CONCATENATE(TabelleURL!$B$1,"346_CAN2com/346300XX.pdf"), "34630015")</f>
        <v>34630015</v>
      </c>
      <c r="AI533" s="5" t="str">
        <f>HYPERLINK(CONCATENATE(TabelleURL!$B$1,"3499_Taxi/34990023.pdf"), "34990023")</f>
        <v>34990023</v>
      </c>
      <c r="AP533" s="2" t="str">
        <f>HYPERLINK(CONCATENATE(TabelleURL!$B$1,"367/3674700.pdf"), "3674700")</f>
        <v>3674700</v>
      </c>
      <c r="AQ533" s="7" t="s">
        <v>800</v>
      </c>
    </row>
    <row r="534" spans="1:43">
      <c r="A534" s="1" t="s">
        <v>794</v>
      </c>
      <c r="B534" s="1">
        <v>3008</v>
      </c>
      <c r="C534" s="1" t="s">
        <v>225</v>
      </c>
      <c r="D534" s="82" t="s">
        <v>25</v>
      </c>
      <c r="F534" s="70" t="s">
        <v>239</v>
      </c>
      <c r="G534" s="2" t="str">
        <f>HYPERLINK(CONCATENATE(TabelleURL!$B$1,"332_ADIF/332CI05.pdf"), "332CI05KA")</f>
        <v>332CI05KA</v>
      </c>
      <c r="M534" s="5" t="str">
        <f>HYPERLINK(CONCATENATE(TabelleURL!$B$1,"345_Signalbox/3450264.pdf"), "3450264")</f>
        <v>3450264</v>
      </c>
      <c r="T534" s="63"/>
      <c r="U534" s="5"/>
      <c r="W534" s="5"/>
      <c r="X534" s="17"/>
      <c r="Y534" s="8"/>
      <c r="AC534" s="18"/>
      <c r="AH534" s="4" t="str">
        <f>HYPERLINK(CONCATENATE(TabelleURL!$B$1,"346_CAN2com/346300XX.pdf"), "34630015")</f>
        <v>34630015</v>
      </c>
      <c r="AI534" s="5" t="str">
        <f>HYPERLINK(CONCATENATE(TabelleURL!$B$1,"3499_Taxi/34990023.pdf"), "34990023")</f>
        <v>34990023</v>
      </c>
    </row>
    <row r="535" spans="1:43">
      <c r="A535" s="1" t="s">
        <v>794</v>
      </c>
      <c r="B535" s="1">
        <v>4007</v>
      </c>
      <c r="D535" s="1" t="s">
        <v>251</v>
      </c>
      <c r="G535" s="2" t="str">
        <f>HYPERLINK(CONCATENATE(TabelleURL!$B$1,"332_ADIF/332MI02.pdf"), "332MI02")</f>
        <v>332MI02</v>
      </c>
      <c r="I535" s="2" t="str">
        <f>HYPERLINK(CONCATENATE(TabelleURL!$B$1,"332_ADIF2/332MI02PD.pdf"), "332MI02PD")</f>
        <v>332MI02PD</v>
      </c>
      <c r="M535" s="5" t="str">
        <f>HYPERLINK(CONCATENATE(TabelleURL!$B$1,"345_Signalbox/3450260.pdf"), "3450260")</f>
        <v>3450260</v>
      </c>
      <c r="T535" s="63"/>
      <c r="U535" s="5"/>
      <c r="W535" s="5"/>
      <c r="X535" s="17"/>
      <c r="Y535" s="8"/>
      <c r="AC535" s="18"/>
    </row>
    <row r="536" spans="1:43">
      <c r="A536" s="1" t="s">
        <v>794</v>
      </c>
      <c r="B536" s="1">
        <v>4008</v>
      </c>
      <c r="D536" s="82" t="s">
        <v>61</v>
      </c>
      <c r="F536" s="70" t="s">
        <v>239</v>
      </c>
      <c r="G536" s="2" t="str">
        <f>HYPERLINK(CONCATENATE(TabelleURL!$B$1,"332_ADIF/332CI05.pdf"), "332CI05KA")</f>
        <v>332CI05KA</v>
      </c>
      <c r="M536" s="5" t="str">
        <f>HYPERLINK(CONCATENATE(TabelleURL!$B$1,"345_Signalbox/3450264.pdf"), "3450264")</f>
        <v>3450264</v>
      </c>
      <c r="T536" s="63"/>
      <c r="U536" s="5"/>
      <c r="W536" s="5"/>
      <c r="X536" s="17"/>
      <c r="Y536" s="8"/>
      <c r="AC536" s="18"/>
      <c r="AH536" s="4" t="str">
        <f>HYPERLINK(CONCATENATE(TabelleURL!$B$1,"346_CAN2com/346300XX.pdf"), "34630015")</f>
        <v>34630015</v>
      </c>
      <c r="AI536" s="5" t="str">
        <f>HYPERLINK(CONCATENATE(TabelleURL!$B$1,"3499_Taxi/34990023.pdf"), "34990023")</f>
        <v>34990023</v>
      </c>
    </row>
    <row r="537" spans="1:43">
      <c r="A537" s="1" t="s">
        <v>794</v>
      </c>
      <c r="B537" s="1">
        <v>5008</v>
      </c>
      <c r="D537" s="1" t="s">
        <v>213</v>
      </c>
      <c r="F537" s="70" t="s">
        <v>239</v>
      </c>
      <c r="G537" s="2" t="str">
        <f>HYPERLINK(CONCATENATE(TabelleURL!$B$1,"332_ADIF/332CI05.pdf"), "332CI05KA")</f>
        <v>332CI05KA</v>
      </c>
      <c r="M537" s="5" t="str">
        <f>HYPERLINK(CONCATENATE(TabelleURL!$B$1,"345_Signalbox/3450264.pdf"), "3450264")</f>
        <v>3450264</v>
      </c>
      <c r="T537" s="63"/>
      <c r="U537" s="5"/>
      <c r="W537" s="5"/>
      <c r="X537" s="17"/>
      <c r="Y537" s="8"/>
      <c r="AC537" s="18"/>
      <c r="AH537" s="4" t="str">
        <f>HYPERLINK(CONCATENATE(TabelleURL!$B$1,"346_CAN2com/346300XX.pdf"), "34630015")</f>
        <v>34630015</v>
      </c>
      <c r="AI537" s="5" t="str">
        <f>HYPERLINK(CONCATENATE(TabelleURL!$B$1,"3499_Taxi/34990023.pdf"), "34990023")</f>
        <v>34990023</v>
      </c>
    </row>
    <row r="538" spans="1:43">
      <c r="A538" s="1" t="s">
        <v>794</v>
      </c>
      <c r="B538" s="1" t="s">
        <v>801</v>
      </c>
      <c r="D538" s="1" t="s">
        <v>29</v>
      </c>
      <c r="G538" s="2" t="str">
        <f>HYPERLINK(CONCATENATE(TabelleURL!$B$1,"332_ADIF/332FI01.pdf"), "332FI01")</f>
        <v>332FI01</v>
      </c>
      <c r="I538" s="2" t="str">
        <f>HYPERLINK(CONCATENATE(TabelleURL!$B$1,"342_ADIF/342FI01ZI.pdf"), "342FI01/0/ZI")</f>
        <v>342FI01/0/ZI</v>
      </c>
      <c r="R538" s="66" t="s">
        <v>11</v>
      </c>
      <c r="S538" s="67" t="s">
        <v>239</v>
      </c>
      <c r="T538" s="63">
        <v>3470006</v>
      </c>
      <c r="U538" s="5" t="s">
        <v>240</v>
      </c>
      <c r="V538" s="4" t="s">
        <v>239</v>
      </c>
      <c r="W538" s="5"/>
      <c r="X538" s="17" t="s">
        <v>11</v>
      </c>
      <c r="Y538" s="8" t="s">
        <v>241</v>
      </c>
      <c r="AC538" s="18" t="s">
        <v>11</v>
      </c>
      <c r="AD538" s="4" t="str">
        <f>HYPERLINK(CONCATENATE(TabelleURL!$B$1,"367/3674212-PDC.pdf"), "3674212-PDC")</f>
        <v>3674212-PDC</v>
      </c>
    </row>
    <row r="539" spans="1:43">
      <c r="A539" s="1" t="s">
        <v>794</v>
      </c>
      <c r="B539" s="1" t="s">
        <v>247</v>
      </c>
      <c r="C539" s="1" t="s">
        <v>802</v>
      </c>
      <c r="D539" s="1" t="s">
        <v>210</v>
      </c>
      <c r="G539" s="2" t="str">
        <f>HYPERLINK(CONCATENATE(TabelleURL!$B$1,"332_ADIF/332CI05.pdf"), "332CI05KA")</f>
        <v>332CI05KA</v>
      </c>
      <c r="M539" s="5" t="str">
        <f>HYPERLINK(CONCATENATE(TabelleURL!$B$1,"345_Signalbox/3450257.pdf"), "3450257")</f>
        <v>3450257</v>
      </c>
      <c r="R539" s="66" t="s">
        <v>11</v>
      </c>
      <c r="S539" s="67" t="str">
        <f>HYPERLINK(CONCATENATE(TabelleURL!$B$1,"347_URI/3474761.pdf"), "B-3474761")</f>
        <v>B-3474761</v>
      </c>
      <c r="T539" s="63">
        <v>3474761</v>
      </c>
      <c r="U539" s="5" t="s">
        <v>12</v>
      </c>
      <c r="W539" s="5"/>
      <c r="X539" s="17"/>
      <c r="Y539" s="8"/>
      <c r="AA539" s="4">
        <v>3614761</v>
      </c>
      <c r="AC539" s="18"/>
      <c r="AF539" s="8" t="str">
        <f>HYPERLINK(CONCATENATE(TabelleURL!$B$1,"340_Helfer/3404700.pdf"), "B-3404700")</f>
        <v>B-3404700</v>
      </c>
      <c r="AG539" s="2" t="str">
        <f>HYPERLINK(CONCATENATE(TabelleURL!$B$1,"340_Helfer/3404701.pdf"), "3404701")</f>
        <v>3404701</v>
      </c>
      <c r="AI539" s="5" t="str">
        <f>HYPERLINK(CONCATENATE(TabelleURL!$B$1,"3499_Taxi/34990021.pdf"), "34990021")</f>
        <v>34990021</v>
      </c>
      <c r="AL539" s="3" t="s">
        <v>7</v>
      </c>
      <c r="AM539" s="7" t="s">
        <v>803</v>
      </c>
      <c r="AP539" s="2" t="str">
        <f>HYPERLINK(CONCATENATE(TabelleURL!$B$1,"367/3674700.pdf"), "3674700")</f>
        <v>3674700</v>
      </c>
    </row>
    <row r="540" spans="1:43">
      <c r="A540" s="1" t="s">
        <v>794</v>
      </c>
      <c r="B540" s="1" t="s">
        <v>247</v>
      </c>
      <c r="C540" s="1" t="s">
        <v>802</v>
      </c>
      <c r="D540" s="1" t="s">
        <v>280</v>
      </c>
      <c r="G540" s="2" t="str">
        <f>HYPERLINK(CONCATENATE(TabelleURL!$B$1,"332_ADIF/332CI02.pdf"), "332CI02KA")</f>
        <v>332CI02KA</v>
      </c>
      <c r="M540" s="5" t="str">
        <f>HYPERLINK(CONCATENATE(TabelleURL!$B$1,"345_Signalbox/3450257.pdf"), "3450257")</f>
        <v>3450257</v>
      </c>
      <c r="R540" s="66" t="s">
        <v>11</v>
      </c>
      <c r="S540" s="67" t="str">
        <f>HYPERLINK(CONCATENATE(TabelleURL!$B$1,"347_URI/3474761.pdf"), "B-3474761")</f>
        <v>B-3474761</v>
      </c>
      <c r="T540" s="63">
        <v>3474761</v>
      </c>
      <c r="U540" s="5" t="s">
        <v>12</v>
      </c>
      <c r="W540" s="5"/>
      <c r="X540" s="17"/>
      <c r="Y540" s="8"/>
      <c r="AC540" s="18"/>
      <c r="AF540" s="8" t="str">
        <f>HYPERLINK(CONCATENATE(TabelleURL!$B$1,"340_Helfer/3404700.pdf"), "B-3404700")</f>
        <v>B-3404700</v>
      </c>
      <c r="AG540" s="2" t="str">
        <f>HYPERLINK(CONCATENATE(TabelleURL!$B$1,"340_Helfer/3404701.pdf"), "3404701")</f>
        <v>3404701</v>
      </c>
      <c r="AI540" s="5" t="str">
        <f>HYPERLINK(CONCATENATE(TabelleURL!$B$1,"3499_Taxi/34990021.pdf"), "34990021")</f>
        <v>34990021</v>
      </c>
      <c r="AL540" s="3" t="s">
        <v>7</v>
      </c>
      <c r="AP540" s="2" t="str">
        <f>HYPERLINK(CONCATENATE(TabelleURL!$B$1,"367/3674700.pdf"), "3674700")</f>
        <v>3674700</v>
      </c>
    </row>
    <row r="541" spans="1:43">
      <c r="A541" s="1" t="s">
        <v>794</v>
      </c>
      <c r="B541" s="1" t="s">
        <v>247</v>
      </c>
      <c r="C541" s="1" t="s">
        <v>802</v>
      </c>
      <c r="D541" s="1" t="s">
        <v>116</v>
      </c>
      <c r="G541" s="2" t="str">
        <f>HYPERLINK(CONCATENATE(TabelleURL!$B$1,"332_ADIF/332CI02.pdf"), "332CI02KA")</f>
        <v>332CI02KA</v>
      </c>
      <c r="M541" s="5" t="str">
        <f>HYPERLINK(CONCATENATE(TabelleURL!$B$1,"345_Signalbox/3450257.pdf"), "3450257")</f>
        <v>3450257</v>
      </c>
      <c r="T541" s="63"/>
      <c r="U541" s="5"/>
      <c r="W541" s="5"/>
      <c r="X541" s="17"/>
      <c r="Y541" s="8"/>
      <c r="AC541" s="18"/>
      <c r="AF541" s="8" t="str">
        <f>HYPERLINK(CONCATENATE(TabelleURL!$B$1,"340_Helfer/3404700.pdf"), "B-3404700")</f>
        <v>B-3404700</v>
      </c>
      <c r="AG541" s="2" t="str">
        <f>HYPERLINK(CONCATENATE(TabelleURL!$B$1,"340_Helfer/3404701.pdf"), "3404701")</f>
        <v>3404701</v>
      </c>
      <c r="AI541" s="5" t="str">
        <f>HYPERLINK(CONCATENATE(TabelleURL!$B$1,"3499_Taxi/34990021.pdf"), "34990021")</f>
        <v>34990021</v>
      </c>
    </row>
    <row r="542" spans="1:43">
      <c r="A542" s="1" t="s">
        <v>794</v>
      </c>
      <c r="B542" s="1" t="s">
        <v>804</v>
      </c>
      <c r="D542" s="1" t="s">
        <v>1374</v>
      </c>
      <c r="G542" s="2" t="str">
        <f>HYPERLINK(CONCATENATE(TabelleURL!$B$1,"332_ADIF/332CI05.pdf"), "332CI05KA")</f>
        <v>332CI05KA</v>
      </c>
      <c r="M542" s="5" t="str">
        <f>HYPERLINK(CONCATENATE(TabelleURL!$B$1,"345_Signalbox/3450264.pdf"), "3450264")</f>
        <v>3450264</v>
      </c>
      <c r="R542" s="66" t="s">
        <v>11</v>
      </c>
      <c r="S542" s="67" t="s">
        <v>239</v>
      </c>
      <c r="T542" s="63">
        <v>3470006</v>
      </c>
      <c r="U542" s="5" t="s">
        <v>240</v>
      </c>
      <c r="V542" s="4" t="s">
        <v>239</v>
      </c>
      <c r="W542" s="5"/>
      <c r="X542" s="17" t="s">
        <v>11</v>
      </c>
      <c r="Y542" s="8" t="s">
        <v>241</v>
      </c>
      <c r="AC542" s="18" t="s">
        <v>11</v>
      </c>
      <c r="AD542" s="4" t="str">
        <f>HYPERLINK(CONCATENATE(TabelleURL!$B$1,"367/3674212-PDC.pdf"), "3674212-PDC")</f>
        <v>3674212-PDC</v>
      </c>
      <c r="AF542" s="8" t="str">
        <f>HYPERLINK(CONCATENATE(TabelleURL!$B$1,"340_Helfer/3404700.pdf"), "B-3404700")</f>
        <v>B-3404700</v>
      </c>
      <c r="AG542" s="2" t="str">
        <f>HYPERLINK(CONCATENATE(TabelleURL!$B$1,"340_Helfer/3404701.pdf"), "3404701")</f>
        <v>3404701</v>
      </c>
      <c r="AI542" s="5" t="str">
        <f>HYPERLINK(CONCATENATE(TabelleURL!$B$1,"3499_Taxi/34990020.pdf"), "34990020")</f>
        <v>34990020</v>
      </c>
      <c r="AL542" s="3" t="s">
        <v>7</v>
      </c>
      <c r="AP542" s="2" t="str">
        <f>HYPERLINK(CONCATENATE(TabelleURL!$B$1,"367/3674700.pdf"), "3674700")</f>
        <v>3674700</v>
      </c>
    </row>
    <row r="543" spans="1:43">
      <c r="A543" s="1" t="s">
        <v>794</v>
      </c>
      <c r="B543" s="1" t="s">
        <v>804</v>
      </c>
      <c r="D543" s="82" t="s">
        <v>25</v>
      </c>
      <c r="G543" s="2" t="str">
        <f>HYPERLINK(CONCATENATE(TabelleURL!$B$1,"332_ADIF/332CI05.pdf"), "332CI05KA")</f>
        <v>332CI05KA</v>
      </c>
      <c r="M543" s="5" t="str">
        <f>HYPERLINK(CONCATENATE(TabelleURL!$B$1,"345_Signalbox/3450264.pdf"), "3450264")</f>
        <v>3450264</v>
      </c>
      <c r="T543" s="63"/>
      <c r="U543" s="5"/>
      <c r="W543" s="5"/>
      <c r="X543" s="17"/>
      <c r="Y543" s="8"/>
      <c r="AC543" s="18"/>
      <c r="AH543" s="4" t="str">
        <f>HYPERLINK(CONCATENATE(TabelleURL!$B$1,"346_CAN2com/346300XX.pdf"), "34630015")</f>
        <v>34630015</v>
      </c>
      <c r="AI543" s="5" t="str">
        <f>HYPERLINK(CONCATENATE(TabelleURL!$B$1,"3499_Taxi/34990023.pdf"), "34990023")</f>
        <v>34990023</v>
      </c>
      <c r="AP543" s="2" t="str">
        <f>HYPERLINK(CONCATENATE(TabelleURL!$B$1,"367/3674700.pdf"), "3674700")</f>
        <v>3674700</v>
      </c>
      <c r="AQ543" s="7" t="s">
        <v>800</v>
      </c>
    </row>
    <row r="544" spans="1:43">
      <c r="A544" s="1" t="s">
        <v>794</v>
      </c>
      <c r="B544" s="1" t="s">
        <v>805</v>
      </c>
      <c r="C544" s="1" t="s">
        <v>225</v>
      </c>
      <c r="D544" s="1" t="s">
        <v>242</v>
      </c>
      <c r="G544" s="2" t="str">
        <f>HYPERLINK(CONCATENATE(TabelleURL!$B$1,"342_ADIF/342CI01.pdf"), "342CI01/0")</f>
        <v>342CI01/0</v>
      </c>
      <c r="R544" s="66" t="s">
        <v>11</v>
      </c>
      <c r="S544" s="67" t="s">
        <v>239</v>
      </c>
      <c r="T544" s="63">
        <v>3470006</v>
      </c>
      <c r="U544" s="5" t="s">
        <v>240</v>
      </c>
      <c r="V544" s="4" t="s">
        <v>239</v>
      </c>
      <c r="W544" s="5"/>
      <c r="X544" s="17" t="s">
        <v>11</v>
      </c>
      <c r="Y544" s="8" t="s">
        <v>241</v>
      </c>
      <c r="AC544" s="18" t="s">
        <v>11</v>
      </c>
      <c r="AD544" s="4" t="str">
        <f>HYPERLINK(CONCATENATE(TabelleURL!$B$1,"367/3674212-PDC.pdf"), "3674212-PDC")</f>
        <v>3674212-PDC</v>
      </c>
      <c r="AI544" s="5" t="str">
        <f>HYPERLINK(CONCATENATE(TabelleURL!$B$1,"3499_Taxi/34990023.pdf"), "34990023")</f>
        <v>34990023</v>
      </c>
    </row>
    <row r="545" spans="1:42">
      <c r="A545" s="1" t="s">
        <v>794</v>
      </c>
      <c r="B545" s="1" t="s">
        <v>805</v>
      </c>
      <c r="C545" s="1" t="s">
        <v>806</v>
      </c>
      <c r="D545" s="1" t="s">
        <v>245</v>
      </c>
      <c r="G545" s="2" t="str">
        <f>HYPERLINK(CONCATENATE(TabelleURL!$B$1,"342_ADIF/342CI01.pdf"), "342CI01/0")</f>
        <v>342CI01/0</v>
      </c>
      <c r="T545" s="63"/>
      <c r="U545" s="5"/>
      <c r="W545" s="5"/>
      <c r="X545" s="17"/>
      <c r="Y545" s="8"/>
      <c r="AC545" s="18"/>
      <c r="AI545" s="5" t="str">
        <f>HYPERLINK(CONCATENATE(TabelleURL!$B$1,"3499_Taxi/34990023.pdf"), "34990023")</f>
        <v>34990023</v>
      </c>
    </row>
    <row r="546" spans="1:42">
      <c r="A546" s="1" t="s">
        <v>794</v>
      </c>
      <c r="B546" s="1" t="s">
        <v>805</v>
      </c>
      <c r="C546" s="1" t="s">
        <v>807</v>
      </c>
      <c r="D546" s="1" t="s">
        <v>73</v>
      </c>
      <c r="G546" s="2" t="str">
        <f>HYPERLINK(CONCATENATE(TabelleURL!$B$1,"342_ADIF/342CI01.pdf"), "342CI01/0")</f>
        <v>342CI01/0</v>
      </c>
      <c r="T546" s="63"/>
      <c r="U546" s="5"/>
      <c r="W546" s="5"/>
      <c r="X546" s="17"/>
      <c r="Y546" s="8"/>
      <c r="AC546" s="18"/>
      <c r="AI546" s="5" t="str">
        <f>HYPERLINK(CONCATENATE(TabelleURL!$B$1,"3499_Taxi/34990023.pdf"), "34990023")</f>
        <v>34990023</v>
      </c>
    </row>
    <row r="547" spans="1:42">
      <c r="A547" s="1" t="s">
        <v>794</v>
      </c>
      <c r="B547" s="1" t="s">
        <v>808</v>
      </c>
      <c r="D547" s="1" t="s">
        <v>27</v>
      </c>
      <c r="T547" s="63"/>
      <c r="U547" s="5"/>
      <c r="W547" s="5"/>
      <c r="X547" s="17"/>
      <c r="Y547" s="8"/>
      <c r="AC547" s="18"/>
    </row>
    <row r="548" spans="1:42">
      <c r="A548" s="1" t="s">
        <v>809</v>
      </c>
      <c r="B548" s="1">
        <v>911</v>
      </c>
      <c r="C548" s="1" t="s">
        <v>810</v>
      </c>
      <c r="D548" s="1" t="s">
        <v>199</v>
      </c>
      <c r="G548" s="2" t="str">
        <f>HYPERLINK(CONCATENATE(TabelleURL!$B$1,"342_ADIF/342PO02.pdf"), "342PO02/0")</f>
        <v>342PO02/0</v>
      </c>
      <c r="T548" s="63"/>
      <c r="U548" s="5"/>
      <c r="W548" s="5"/>
      <c r="X548" s="17"/>
      <c r="Y548" s="8"/>
      <c r="AC548" s="18"/>
    </row>
    <row r="549" spans="1:42">
      <c r="A549" s="1" t="s">
        <v>809</v>
      </c>
      <c r="B549" s="1">
        <v>911</v>
      </c>
      <c r="C549" s="1" t="s">
        <v>811</v>
      </c>
      <c r="D549" s="1" t="s">
        <v>82</v>
      </c>
      <c r="G549" s="2" t="str">
        <f>HYPERLINK(CONCATENATE(TabelleURL!$B$1,"342_ADIF/342PO04KA.pdf"), "342PO04/0/KA")</f>
        <v>342PO04/0/KA</v>
      </c>
      <c r="R549" s="66" t="s">
        <v>221</v>
      </c>
      <c r="S549" s="67" t="s">
        <v>1394</v>
      </c>
      <c r="T549" s="63"/>
      <c r="U549" s="5"/>
      <c r="W549" s="5"/>
      <c r="X549" s="17"/>
      <c r="Y549" s="8"/>
      <c r="AC549" s="18"/>
    </row>
    <row r="550" spans="1:42">
      <c r="A550" s="1" t="s">
        <v>809</v>
      </c>
      <c r="B550" s="1">
        <v>911</v>
      </c>
      <c r="C550" s="1" t="s">
        <v>812</v>
      </c>
      <c r="D550" s="1" t="s">
        <v>86</v>
      </c>
      <c r="G550" s="2" t="str">
        <f>HYPERLINK(CONCATENATE(TabelleURL!$B$1,"332_ADIF/332PO03.pdf"), "332PO03")</f>
        <v>332PO03</v>
      </c>
      <c r="M550" s="5" t="str">
        <f>HYPERLINK(CONCATENATE(TabelleURL!$B$1,"345_Signalbox/3450265.pdf"), "3450265")</f>
        <v>3450265</v>
      </c>
      <c r="R550" s="66" t="s">
        <v>221</v>
      </c>
      <c r="S550" s="67" t="s">
        <v>813</v>
      </c>
      <c r="T550" s="63"/>
      <c r="U550" s="5"/>
      <c r="V550" s="4" t="s">
        <v>813</v>
      </c>
      <c r="W550" s="5"/>
      <c r="X550" s="17"/>
      <c r="Y550" s="8"/>
      <c r="Z550" s="2" t="s">
        <v>814</v>
      </c>
      <c r="AC550" s="18"/>
    </row>
    <row r="551" spans="1:42">
      <c r="A551" s="1" t="s">
        <v>809</v>
      </c>
      <c r="B551" s="1" t="s">
        <v>815</v>
      </c>
      <c r="C551" s="1" t="s">
        <v>816</v>
      </c>
      <c r="D551" s="1" t="s">
        <v>539</v>
      </c>
      <c r="G551" s="2" t="str">
        <f>HYPERLINK(CONCATENATE(TabelleURL!$B$1,"332_ADIF/332PO01.pdf"), "332PO01")</f>
        <v>332PO01</v>
      </c>
      <c r="T551" s="63"/>
      <c r="U551" s="5"/>
      <c r="W551" s="5"/>
      <c r="X551" s="17"/>
      <c r="Y551" s="8"/>
      <c r="AC551" s="18"/>
    </row>
    <row r="552" spans="1:42">
      <c r="A552" s="1" t="s">
        <v>809</v>
      </c>
      <c r="B552" s="1" t="s">
        <v>815</v>
      </c>
      <c r="C552" s="1" t="s">
        <v>817</v>
      </c>
      <c r="D552" s="1" t="s">
        <v>582</v>
      </c>
      <c r="G552" s="2" t="str">
        <f>HYPERLINK(CONCATENATE(TabelleURL!$B$1,"332_ADIF/332PO01.pdf"), "332PO01")</f>
        <v>332PO01</v>
      </c>
      <c r="T552" s="63"/>
      <c r="U552" s="5"/>
      <c r="W552" s="5"/>
      <c r="X552" s="17"/>
      <c r="Y552" s="8"/>
      <c r="AC552" s="18"/>
    </row>
    <row r="553" spans="1:42">
      <c r="A553" s="1" t="s">
        <v>809</v>
      </c>
      <c r="B553" s="1" t="s">
        <v>815</v>
      </c>
      <c r="C553" s="1" t="s">
        <v>818</v>
      </c>
      <c r="D553" s="1" t="s">
        <v>61</v>
      </c>
      <c r="G553" s="2" t="str">
        <f>HYPERLINK(CONCATENATE(TabelleURL!$B$1,"332_ADIF/332PO03.pdf"), "332PO03")</f>
        <v>332PO03</v>
      </c>
      <c r="M553" s="5" t="str">
        <f>HYPERLINK(CONCATENATE(TabelleURL!$B$1,"345_Signalbox/3450265.pdf"), "3450265")</f>
        <v>3450265</v>
      </c>
      <c r="R553" s="66" t="s">
        <v>221</v>
      </c>
      <c r="S553" s="67" t="s">
        <v>813</v>
      </c>
      <c r="T553" s="63"/>
      <c r="U553" s="5"/>
      <c r="V553" s="4" t="s">
        <v>813</v>
      </c>
      <c r="W553" s="5"/>
      <c r="X553" s="17"/>
      <c r="Y553" s="8"/>
      <c r="Z553" s="2" t="s">
        <v>814</v>
      </c>
      <c r="AC553" s="18"/>
    </row>
    <row r="554" spans="1:42">
      <c r="A554" s="1" t="s">
        <v>809</v>
      </c>
      <c r="B554" s="1" t="s">
        <v>819</v>
      </c>
      <c r="C554" s="1" t="s">
        <v>820</v>
      </c>
      <c r="D554" s="1" t="s">
        <v>821</v>
      </c>
      <c r="E554" s="76" t="s">
        <v>822</v>
      </c>
      <c r="G554" s="2" t="str">
        <f>HYPERLINK(CONCATENATE(TabelleURL!$B$1,"342_ADIF/342VW04.pdf"), "342VW04/0")</f>
        <v>342VW04/0</v>
      </c>
      <c r="R554" s="66" t="s">
        <v>221</v>
      </c>
      <c r="S554" s="67" t="str">
        <f>HYPERLINK(CONCATENATE(TabelleURL!$B$1,"347_URI/B-3474735.pdf"), "B-3474735")</f>
        <v>B-3474735</v>
      </c>
      <c r="T554" s="63">
        <v>3474735</v>
      </c>
      <c r="U554" s="5" t="s">
        <v>823</v>
      </c>
      <c r="W554" s="5"/>
      <c r="X554" s="17"/>
      <c r="Y554" s="8"/>
      <c r="AC554" s="18"/>
      <c r="AF554" s="8" t="str">
        <f>HYPERLINK(CONCATENATE(TabelleURL!$B$1,"340_Helfer/3404700.pdf"), "B-3404700")</f>
        <v>B-3404700</v>
      </c>
      <c r="AL554" s="3" t="s">
        <v>7</v>
      </c>
    </row>
    <row r="555" spans="1:42">
      <c r="A555" s="1" t="s">
        <v>809</v>
      </c>
      <c r="B555" s="1" t="s">
        <v>824</v>
      </c>
      <c r="C555" s="1" t="s">
        <v>825</v>
      </c>
      <c r="D555" s="1" t="s">
        <v>231</v>
      </c>
      <c r="E555" s="76" t="s">
        <v>822</v>
      </c>
      <c r="G555" s="2" t="str">
        <f>HYPERLINK(CONCATENATE(TabelleURL!$B$1,"342_ADIF/342VW04.pdf"), "342VW04/0")</f>
        <v>342VW04/0</v>
      </c>
      <c r="R555" s="66" t="s">
        <v>221</v>
      </c>
      <c r="S555" s="67" t="str">
        <f>HYPERLINK(CONCATENATE(TabelleURL!$B$1,"347_URI/B-3474736.pdf"), "B-3474736")</f>
        <v>B-3474736</v>
      </c>
      <c r="T555" s="63">
        <v>3474735</v>
      </c>
      <c r="U555" s="5" t="s">
        <v>826</v>
      </c>
      <c r="W555" s="5"/>
      <c r="X555" s="17"/>
      <c r="Y555" s="8"/>
      <c r="AC555" s="18"/>
      <c r="AF555" s="8" t="str">
        <f>HYPERLINK(CONCATENATE(TabelleURL!$B$1,"340_Helfer/3404700.pdf"), "B-3404700")</f>
        <v>B-3404700</v>
      </c>
      <c r="AL555" s="3" t="s">
        <v>7</v>
      </c>
    </row>
    <row r="556" spans="1:42">
      <c r="A556" s="1" t="s">
        <v>809</v>
      </c>
      <c r="B556" s="1" t="s">
        <v>827</v>
      </c>
      <c r="C556" s="1" t="s">
        <v>828</v>
      </c>
      <c r="D556" s="1" t="s">
        <v>27</v>
      </c>
      <c r="G556" s="2" t="str">
        <f>HYPERLINK(CONCATENATE(TabelleURL!$B$1,"332_ADIF/332PO03.pdf"), "332PO03")</f>
        <v>332PO03</v>
      </c>
      <c r="M556" s="5" t="str">
        <f>HYPERLINK(CONCATENATE(TabelleURL!$B$1,"345_Signalbox/3450265.pdf"), "3450265")</f>
        <v>3450265</v>
      </c>
      <c r="R556" s="66" t="s">
        <v>221</v>
      </c>
      <c r="S556" s="67" t="s">
        <v>813</v>
      </c>
      <c r="T556" s="63"/>
      <c r="U556" s="5"/>
      <c r="V556" s="4" t="s">
        <v>813</v>
      </c>
      <c r="W556" s="5"/>
      <c r="X556" s="17"/>
      <c r="Y556" s="8"/>
      <c r="Z556" s="2" t="s">
        <v>814</v>
      </c>
      <c r="AC556" s="18"/>
    </row>
    <row r="557" spans="1:42">
      <c r="A557" s="1" t="s">
        <v>809</v>
      </c>
      <c r="B557" s="1" t="s">
        <v>829</v>
      </c>
      <c r="C557" s="1" t="s">
        <v>817</v>
      </c>
      <c r="D557" s="1" t="s">
        <v>119</v>
      </c>
      <c r="G557" s="2" t="str">
        <f>HYPERLINK(CONCATENATE(TabelleURL!$B$1,"332_ADIF/332PO01.pdf"), "332PO01")</f>
        <v>332PO01</v>
      </c>
      <c r="T557" s="63"/>
      <c r="U557" s="5"/>
      <c r="W557" s="5"/>
      <c r="X557" s="17"/>
      <c r="Y557" s="8"/>
      <c r="AC557" s="18"/>
    </row>
    <row r="558" spans="1:42">
      <c r="A558" s="1" t="s">
        <v>809</v>
      </c>
      <c r="B558" s="1" t="s">
        <v>830</v>
      </c>
      <c r="D558" s="1" t="s">
        <v>116</v>
      </c>
      <c r="G558" s="2" t="str">
        <f>HYPERLINK(CONCATENATE(TabelleURL!$B$1,"332_ADIF/332PO03.pdf"), "332PO03")</f>
        <v>332PO03</v>
      </c>
      <c r="M558" s="5" t="s">
        <v>831</v>
      </c>
      <c r="T558" s="63"/>
      <c r="U558" s="5"/>
      <c r="W558" s="5"/>
      <c r="X558" s="17"/>
      <c r="Y558" s="8"/>
      <c r="AC558" s="18"/>
      <c r="AF558" s="8" t="str">
        <f>HYPERLINK(CONCATENATE(TabelleURL!$B$1,"340_Helfer/3404700.pdf"), "B-3404700")</f>
        <v>B-3404700</v>
      </c>
      <c r="AG558" s="2" t="s">
        <v>832</v>
      </c>
      <c r="AH558" s="4" t="s">
        <v>833</v>
      </c>
      <c r="AK558" s="9"/>
      <c r="AP558" s="2" t="s">
        <v>834</v>
      </c>
    </row>
    <row r="559" spans="1:42">
      <c r="A559" s="1" t="s">
        <v>809</v>
      </c>
      <c r="B559" s="1" t="s">
        <v>835</v>
      </c>
      <c r="C559" s="1" t="s">
        <v>836</v>
      </c>
      <c r="D559" s="1" t="s">
        <v>213</v>
      </c>
      <c r="G559" s="2" t="str">
        <f>HYPERLINK(CONCATENATE(TabelleURL!$B$1,"332_ADIF/332PO03.pdf"), "332PO03")</f>
        <v>332PO03</v>
      </c>
      <c r="M559" s="5" t="str">
        <f>HYPERLINK(CONCATENATE(TabelleURL!$B$1,"345_Signalbox/3450265.pdf"), "3450265")</f>
        <v>3450265</v>
      </c>
      <c r="R559" s="66" t="s">
        <v>221</v>
      </c>
      <c r="S559" s="67" t="s">
        <v>813</v>
      </c>
      <c r="T559" s="63"/>
      <c r="U559" s="5"/>
      <c r="V559" s="4" t="s">
        <v>813</v>
      </c>
      <c r="W559" s="5"/>
      <c r="X559" s="17"/>
      <c r="Y559" s="8"/>
      <c r="Z559" s="2" t="s">
        <v>814</v>
      </c>
      <c r="AC559" s="18"/>
      <c r="AF559" s="8" t="str">
        <f>HYPERLINK(CONCATENATE(TabelleURL!$B$1,"340_Helfer/3404700.pdf"), "B-3404700")</f>
        <v>B-3404700</v>
      </c>
      <c r="AI559" s="5" t="str">
        <f>HYPERLINK(CONCATENATE(TabelleURL!$B$1,"3499_Taxi/34990077.pdf"), "34990077")</f>
        <v>34990077</v>
      </c>
      <c r="AL559" s="3" t="s">
        <v>7</v>
      </c>
    </row>
    <row r="560" spans="1:42">
      <c r="A560" s="1" t="s">
        <v>837</v>
      </c>
      <c r="B560" s="1" t="s">
        <v>838</v>
      </c>
      <c r="D560" s="1" t="s">
        <v>19</v>
      </c>
      <c r="G560" s="2" t="str">
        <f>HYPERLINK(CONCATENATE(TabelleURL!$B$1,"332_ADIF/332RE03.pdf"), "332RE03")</f>
        <v>332RE03</v>
      </c>
      <c r="M560" s="5" t="str">
        <f>HYPERLINK(CONCATENATE(TabelleURL!$B$1,"345_Signalbox/3450271.pdf"), "3450271")</f>
        <v>3450271</v>
      </c>
      <c r="T560" s="63"/>
      <c r="U560" s="5"/>
      <c r="W560" s="5"/>
      <c r="X560" s="17"/>
      <c r="Y560" s="8"/>
      <c r="AC560" s="18"/>
    </row>
    <row r="561" spans="1:47" s="10" customFormat="1" ht="12.75">
      <c r="A561" s="1" t="s">
        <v>837</v>
      </c>
      <c r="B561" s="1" t="s">
        <v>839</v>
      </c>
      <c r="C561" s="1" t="s">
        <v>840</v>
      </c>
      <c r="D561" s="1" t="s">
        <v>841</v>
      </c>
      <c r="E561" s="76"/>
      <c r="F561" s="70"/>
      <c r="G561" s="2"/>
      <c r="H561" s="2"/>
      <c r="I561" s="2"/>
      <c r="J561" s="2"/>
      <c r="K561" s="3"/>
      <c r="L561" s="4"/>
      <c r="M561" s="5"/>
      <c r="N561" s="5"/>
      <c r="O561" s="5"/>
      <c r="P561" s="5"/>
      <c r="Q561" s="61"/>
      <c r="R561" s="66"/>
      <c r="S561" s="67"/>
      <c r="T561" s="63"/>
      <c r="U561" s="5"/>
      <c r="V561" s="4"/>
      <c r="W561" s="5"/>
      <c r="X561" s="17"/>
      <c r="Y561" s="8"/>
      <c r="Z561" s="2"/>
      <c r="AA561" s="4"/>
      <c r="AB561" s="2"/>
      <c r="AC561" s="18"/>
      <c r="AD561" s="7"/>
      <c r="AE561" s="2"/>
      <c r="AF561" s="8"/>
      <c r="AG561" s="5"/>
      <c r="AH561" s="4"/>
      <c r="AI561" s="5"/>
      <c r="AJ561" s="5"/>
      <c r="AK561" s="5"/>
      <c r="AL561" s="3"/>
      <c r="AM561" s="7"/>
      <c r="AN561" s="2"/>
      <c r="AO561" s="7"/>
      <c r="AP561" s="9"/>
      <c r="AQ561" s="7"/>
      <c r="AR561" s="3"/>
      <c r="AT561" s="9"/>
      <c r="AU561" s="7"/>
    </row>
    <row r="562" spans="1:47">
      <c r="A562" s="1" t="s">
        <v>837</v>
      </c>
      <c r="B562" s="1" t="s">
        <v>839</v>
      </c>
      <c r="C562" s="1" t="s">
        <v>842</v>
      </c>
      <c r="D562" s="1" t="s">
        <v>843</v>
      </c>
      <c r="T562" s="63"/>
      <c r="U562" s="5"/>
      <c r="W562" s="5"/>
      <c r="X562" s="17"/>
      <c r="Y562" s="8"/>
      <c r="AC562" s="18"/>
    </row>
    <row r="563" spans="1:47">
      <c r="A563" s="1" t="s">
        <v>837</v>
      </c>
      <c r="B563" s="1" t="s">
        <v>839</v>
      </c>
      <c r="C563" s="1" t="s">
        <v>844</v>
      </c>
      <c r="D563" s="1" t="s">
        <v>147</v>
      </c>
      <c r="T563" s="63"/>
      <c r="U563" s="5"/>
      <c r="W563" s="5"/>
      <c r="X563" s="17"/>
      <c r="Y563" s="8"/>
      <c r="AB563" s="2" t="s">
        <v>127</v>
      </c>
      <c r="AC563" s="18"/>
    </row>
    <row r="564" spans="1:47">
      <c r="A564" s="1" t="s">
        <v>837</v>
      </c>
      <c r="B564" s="1" t="s">
        <v>839</v>
      </c>
      <c r="C564" s="1" t="s">
        <v>845</v>
      </c>
      <c r="D564" s="1" t="s">
        <v>61</v>
      </c>
      <c r="G564" s="2" t="str">
        <f>HYPERLINK(CONCATENATE(TabelleURL!$B$1,"332_ADIF/332RE03.pdf"), "332RE03")</f>
        <v>332RE03</v>
      </c>
      <c r="M564" s="5" t="str">
        <f>HYPERLINK(CONCATENATE(TabelleURL!$B$1,"345_Signalbox/3450271.pdf"), "3450271")</f>
        <v>3450271</v>
      </c>
      <c r="T564" s="63"/>
      <c r="U564" s="5"/>
      <c r="W564" s="5"/>
      <c r="X564" s="17"/>
      <c r="Y564" s="8"/>
      <c r="AC564" s="18"/>
    </row>
    <row r="565" spans="1:47" ht="22.5">
      <c r="A565" s="1" t="s">
        <v>837</v>
      </c>
      <c r="B565" s="1" t="s">
        <v>839</v>
      </c>
      <c r="C565" s="1" t="s">
        <v>845</v>
      </c>
      <c r="D565" s="1" t="s">
        <v>61</v>
      </c>
      <c r="E565" s="76" t="s">
        <v>846</v>
      </c>
      <c r="G565" s="2" t="str">
        <f>HYPERLINK(CONCATENATE(TabelleURL!$B$1,"332_ADIF/332RE03.pdf"), "332RE03")</f>
        <v>332RE03</v>
      </c>
      <c r="M565" s="5" t="str">
        <f>HYPERLINK(CONCATENATE(TabelleURL!$B$1,"345_Signalbox/3450271.pdf"), "3450271")</f>
        <v>3450271</v>
      </c>
      <c r="T565" s="63"/>
      <c r="U565" s="5"/>
      <c r="W565" s="5"/>
      <c r="X565" s="17"/>
      <c r="Y565" s="8"/>
      <c r="AC565" s="18"/>
    </row>
    <row r="566" spans="1:47">
      <c r="A566" s="1" t="s">
        <v>837</v>
      </c>
      <c r="B566" s="1" t="s">
        <v>847</v>
      </c>
      <c r="C566" s="1" t="s">
        <v>219</v>
      </c>
      <c r="D566" s="1" t="s">
        <v>848</v>
      </c>
      <c r="T566" s="63"/>
      <c r="U566" s="5"/>
      <c r="W566" s="5"/>
      <c r="X566" s="17"/>
      <c r="Y566" s="8"/>
      <c r="AC566" s="18"/>
    </row>
    <row r="567" spans="1:47">
      <c r="A567" s="1" t="s">
        <v>837</v>
      </c>
      <c r="B567" s="1" t="s">
        <v>847</v>
      </c>
      <c r="C567" s="1" t="s">
        <v>225</v>
      </c>
      <c r="D567" s="1" t="s">
        <v>849</v>
      </c>
      <c r="T567" s="63"/>
      <c r="U567" s="5"/>
      <c r="W567" s="5"/>
      <c r="X567" s="17"/>
      <c r="Y567" s="8"/>
      <c r="AC567" s="18"/>
    </row>
    <row r="568" spans="1:47">
      <c r="A568" s="1" t="s">
        <v>837</v>
      </c>
      <c r="B568" s="1" t="s">
        <v>847</v>
      </c>
      <c r="C568" s="1" t="s">
        <v>850</v>
      </c>
      <c r="D568" s="1" t="s">
        <v>851</v>
      </c>
      <c r="T568" s="63"/>
      <c r="U568" s="5"/>
      <c r="W568" s="5"/>
      <c r="X568" s="17"/>
      <c r="Y568" s="8"/>
      <c r="AC568" s="18"/>
    </row>
    <row r="569" spans="1:47">
      <c r="A569" s="1" t="s">
        <v>837</v>
      </c>
      <c r="B569" s="1" t="s">
        <v>847</v>
      </c>
      <c r="C569" s="1" t="s">
        <v>852</v>
      </c>
      <c r="D569" s="1" t="s">
        <v>199</v>
      </c>
      <c r="G569" s="2" t="str">
        <f>HYPERLINK(CONCATENATE(TabelleURL!$B$1,"342_ADIF/342RE02.pdf"), "342RE02/0")</f>
        <v>342RE02/0</v>
      </c>
      <c r="T569" s="63"/>
      <c r="U569" s="5"/>
      <c r="W569" s="5"/>
      <c r="X569" s="17"/>
      <c r="Y569" s="8"/>
      <c r="AC569" s="18"/>
    </row>
    <row r="570" spans="1:47">
      <c r="A570" s="1" t="s">
        <v>837</v>
      </c>
      <c r="B570" s="1" t="s">
        <v>847</v>
      </c>
      <c r="C570" s="1" t="s">
        <v>853</v>
      </c>
      <c r="D570" s="1" t="s">
        <v>8</v>
      </c>
      <c r="G570" s="2" t="str">
        <f>HYPERLINK(CONCATENATE(TabelleURL!$B$1,"342_ADIF/342RE02.pdf"), "342RE02/0")</f>
        <v>342RE02/0</v>
      </c>
      <c r="T570" s="63">
        <v>3470004</v>
      </c>
      <c r="U570" s="5" t="s">
        <v>854</v>
      </c>
      <c r="W570" s="5"/>
      <c r="X570" s="17"/>
      <c r="Y570" s="8"/>
      <c r="AC570" s="18"/>
    </row>
    <row r="571" spans="1:47">
      <c r="A571" s="1" t="s">
        <v>837</v>
      </c>
      <c r="B571" s="1" t="s">
        <v>847</v>
      </c>
      <c r="C571" s="1" t="s">
        <v>855</v>
      </c>
      <c r="D571" s="1" t="s">
        <v>390</v>
      </c>
      <c r="G571" s="2" t="str">
        <f>HYPERLINK(CONCATENATE(TabelleURL!$B$1,"342_ADIF/342RE02.pdf"), "342RE02/0")</f>
        <v>342RE02/0</v>
      </c>
      <c r="T571" s="63"/>
      <c r="U571" s="5"/>
      <c r="W571" s="5"/>
      <c r="X571" s="17"/>
      <c r="Y571" s="8"/>
      <c r="AC571" s="18"/>
    </row>
    <row r="572" spans="1:47">
      <c r="A572" s="1" t="s">
        <v>837</v>
      </c>
      <c r="B572" s="1" t="s">
        <v>847</v>
      </c>
      <c r="C572" s="1" t="s">
        <v>227</v>
      </c>
      <c r="D572" s="1" t="s">
        <v>73</v>
      </c>
      <c r="T572" s="63"/>
      <c r="U572" s="5"/>
      <c r="W572" s="5"/>
      <c r="X572" s="17"/>
      <c r="Y572" s="8"/>
      <c r="AC572" s="18"/>
    </row>
    <row r="573" spans="1:47">
      <c r="A573" s="1" t="s">
        <v>837</v>
      </c>
      <c r="B573" s="1" t="s">
        <v>856</v>
      </c>
      <c r="C573" s="1" t="s">
        <v>857</v>
      </c>
      <c r="D573" s="1" t="s">
        <v>13</v>
      </c>
      <c r="T573" s="63"/>
      <c r="U573" s="5"/>
      <c r="W573" s="5"/>
      <c r="X573" s="17"/>
      <c r="Y573" s="8"/>
      <c r="AC573" s="18"/>
    </row>
    <row r="574" spans="1:47">
      <c r="A574" s="1" t="s">
        <v>837</v>
      </c>
      <c r="B574" s="1" t="s">
        <v>856</v>
      </c>
      <c r="C574" s="1" t="s">
        <v>858</v>
      </c>
      <c r="D574" s="1" t="s">
        <v>859</v>
      </c>
      <c r="T574" s="63"/>
      <c r="U574" s="5"/>
      <c r="W574" s="5"/>
      <c r="X574" s="17"/>
      <c r="Y574" s="8"/>
      <c r="AC574" s="18"/>
    </row>
    <row r="575" spans="1:47">
      <c r="A575" s="1" t="s">
        <v>837</v>
      </c>
      <c r="B575" s="1" t="s">
        <v>860</v>
      </c>
      <c r="D575" s="1" t="s">
        <v>73</v>
      </c>
      <c r="G575" s="2" t="str">
        <f>HYPERLINK(CONCATENATE(TabelleURL!$B$1,"332_ADIF/332RE03.pdf"), "332RE03")</f>
        <v>332RE03</v>
      </c>
      <c r="M575" s="5" t="str">
        <f>HYPERLINK(CONCATENATE(TabelleURL!$B$1,"345_Signalbox/3450271.pdf"), "3450271")</f>
        <v>3450271</v>
      </c>
      <c r="T575" s="63"/>
      <c r="U575" s="5"/>
      <c r="W575" s="5"/>
      <c r="X575" s="17"/>
      <c r="Y575" s="8"/>
      <c r="AC575" s="18"/>
    </row>
    <row r="576" spans="1:47">
      <c r="A576" s="1" t="s">
        <v>837</v>
      </c>
      <c r="B576" s="1" t="s">
        <v>861</v>
      </c>
      <c r="C576" s="1" t="s">
        <v>862</v>
      </c>
      <c r="D576" s="1" t="s">
        <v>843</v>
      </c>
      <c r="T576" s="63"/>
      <c r="U576" s="5"/>
      <c r="W576" s="5"/>
      <c r="X576" s="17"/>
      <c r="Y576" s="8"/>
      <c r="AC576" s="18"/>
    </row>
    <row r="577" spans="1:44">
      <c r="A577" s="1" t="s">
        <v>837</v>
      </c>
      <c r="B577" s="1" t="s">
        <v>861</v>
      </c>
      <c r="C577" s="1" t="s">
        <v>270</v>
      </c>
      <c r="D577" s="1" t="s">
        <v>29</v>
      </c>
      <c r="F577" s="70" t="s">
        <v>863</v>
      </c>
      <c r="G577" s="2" t="str">
        <f>HYPERLINK(CONCATENATE(TabelleURL!$B$1,"32_ADIF/332RE01.pdf"), "332RE01KA")</f>
        <v>332RE01KA</v>
      </c>
      <c r="I577" s="2" t="str">
        <f>HYPERLINK(CONCATENATE(TabelleURL!$B$1,"342_ADIF/342RE01ZI.pdf"), "342RE01/0/ZI")</f>
        <v>342RE01/0/ZI</v>
      </c>
      <c r="T577" s="63"/>
      <c r="U577" s="5"/>
      <c r="W577" s="5"/>
      <c r="X577" s="17"/>
      <c r="Y577" s="8"/>
      <c r="AC577" s="18"/>
    </row>
    <row r="578" spans="1:44">
      <c r="A578" s="1" t="s">
        <v>837</v>
      </c>
      <c r="B578" s="1" t="s">
        <v>864</v>
      </c>
      <c r="D578" s="1" t="s">
        <v>424</v>
      </c>
      <c r="T578" s="63"/>
      <c r="U578" s="5"/>
      <c r="W578" s="5"/>
      <c r="X578" s="17"/>
      <c r="Y578" s="8"/>
      <c r="AC578" s="18"/>
    </row>
    <row r="579" spans="1:44">
      <c r="A579" s="1" t="s">
        <v>837</v>
      </c>
      <c r="B579" s="1" t="s">
        <v>864</v>
      </c>
      <c r="D579" s="1" t="s">
        <v>86</v>
      </c>
      <c r="M579" s="5" t="str">
        <f>HYPERLINK(CONCATENATE(TabelleURL!$B$1,"345_Signalbox/3450273.pdf"), "3450273")</f>
        <v>3450273</v>
      </c>
      <c r="T579" s="63"/>
      <c r="U579" s="5"/>
      <c r="W579" s="5"/>
      <c r="X579" s="17"/>
      <c r="Y579" s="8"/>
      <c r="AC579" s="18"/>
    </row>
    <row r="580" spans="1:44">
      <c r="A580" s="1" t="s">
        <v>837</v>
      </c>
      <c r="B580" s="1" t="s">
        <v>865</v>
      </c>
      <c r="C580" s="1" t="s">
        <v>866</v>
      </c>
      <c r="D580" s="1" t="s">
        <v>867</v>
      </c>
      <c r="T580" s="63"/>
      <c r="U580" s="5"/>
      <c r="W580" s="5"/>
      <c r="X580" s="17"/>
      <c r="Y580" s="8"/>
      <c r="AC580" s="18"/>
    </row>
    <row r="581" spans="1:44">
      <c r="A581" s="1" t="s">
        <v>837</v>
      </c>
      <c r="B581" s="1" t="s">
        <v>865</v>
      </c>
      <c r="C581" s="1" t="s">
        <v>868</v>
      </c>
      <c r="D581" s="1" t="s">
        <v>869</v>
      </c>
      <c r="T581" s="63"/>
      <c r="U581" s="5"/>
      <c r="W581" s="5"/>
      <c r="X581" s="17"/>
      <c r="Y581" s="8"/>
      <c r="AC581" s="18"/>
    </row>
    <row r="582" spans="1:44">
      <c r="A582" s="1" t="s">
        <v>837</v>
      </c>
      <c r="B582" s="1" t="s">
        <v>865</v>
      </c>
      <c r="C582" s="1" t="s">
        <v>870</v>
      </c>
      <c r="D582" s="1" t="s">
        <v>268</v>
      </c>
      <c r="T582" s="63"/>
      <c r="U582" s="5"/>
      <c r="W582" s="5"/>
      <c r="X582" s="17"/>
      <c r="Y582" s="8"/>
      <c r="AC582" s="18"/>
    </row>
    <row r="583" spans="1:44">
      <c r="A583" s="1" t="s">
        <v>837</v>
      </c>
      <c r="B583" s="1" t="s">
        <v>865</v>
      </c>
      <c r="C583" s="1" t="s">
        <v>871</v>
      </c>
      <c r="D583" s="1" t="s">
        <v>564</v>
      </c>
      <c r="T583" s="63">
        <v>3470004</v>
      </c>
      <c r="U583" s="5" t="s">
        <v>854</v>
      </c>
      <c r="W583" s="5"/>
      <c r="X583" s="17"/>
      <c r="Y583" s="8"/>
      <c r="AB583" s="2" t="s">
        <v>127</v>
      </c>
      <c r="AC583" s="18"/>
    </row>
    <row r="584" spans="1:44">
      <c r="A584" s="1" t="s">
        <v>837</v>
      </c>
      <c r="B584" s="1" t="s">
        <v>865</v>
      </c>
      <c r="C584" s="1" t="s">
        <v>872</v>
      </c>
      <c r="D584" s="1" t="s">
        <v>251</v>
      </c>
      <c r="G584" s="2" t="str">
        <f>HYPERLINK(CONCATENATE(TabelleURL!$B$1,"332_ADIF/332RE03.pdf"), "332RE03")</f>
        <v>332RE03</v>
      </c>
      <c r="M584" s="5" t="str">
        <f>HYPERLINK(CONCATENATE(TabelleURL!$B$1,"345_Signalbox/3450271.pdf"), "3450271")</f>
        <v>3450271</v>
      </c>
      <c r="T584" s="63">
        <v>3470004</v>
      </c>
      <c r="U584" s="5" t="s">
        <v>854</v>
      </c>
      <c r="W584" s="5"/>
      <c r="X584" s="17"/>
      <c r="Y584" s="8"/>
      <c r="AC584" s="18"/>
    </row>
    <row r="585" spans="1:44" ht="22.5">
      <c r="A585" s="1" t="s">
        <v>837</v>
      </c>
      <c r="B585" s="1" t="s">
        <v>865</v>
      </c>
      <c r="C585" s="1" t="s">
        <v>872</v>
      </c>
      <c r="D585" s="1" t="s">
        <v>251</v>
      </c>
      <c r="E585" s="76" t="s">
        <v>873</v>
      </c>
      <c r="G585" s="2" t="str">
        <f>HYPERLINK(CONCATENATE(TabelleURL!$B$1,"332_ADIF/332RE03.pdf"), "332RE03")</f>
        <v>332RE03</v>
      </c>
      <c r="M585" s="5" t="str">
        <f>HYPERLINK(CONCATENATE(TabelleURL!$B$1,"345_Signalbox/3450271.pdf"), "3450271")</f>
        <v>3450271</v>
      </c>
      <c r="R585" s="66" t="s">
        <v>221</v>
      </c>
      <c r="S585" s="67" t="str">
        <f>HYPERLINK(CONCATENATE(TabelleURL!$B$1,"347_URI/3474785.pdf"), "B-3474785")</f>
        <v>B-3474785</v>
      </c>
      <c r="T585" s="63">
        <v>3474785</v>
      </c>
      <c r="U585" s="5" t="s">
        <v>874</v>
      </c>
      <c r="W585" s="5"/>
      <c r="X585" s="17"/>
      <c r="Y585" s="8"/>
      <c r="AC585" s="18"/>
    </row>
    <row r="586" spans="1:44">
      <c r="A586" s="1" t="s">
        <v>837</v>
      </c>
      <c r="B586" s="1" t="s">
        <v>875</v>
      </c>
      <c r="D586" s="1" t="s">
        <v>27</v>
      </c>
      <c r="T586" s="63"/>
      <c r="U586" s="5"/>
      <c r="W586" s="5"/>
      <c r="X586" s="17"/>
      <c r="Y586" s="8"/>
      <c r="AC586" s="18"/>
    </row>
    <row r="587" spans="1:44">
      <c r="A587" s="1" t="s">
        <v>837</v>
      </c>
      <c r="B587" s="1" t="s">
        <v>876</v>
      </c>
      <c r="C587" s="1" t="s">
        <v>219</v>
      </c>
      <c r="D587" s="1" t="s">
        <v>877</v>
      </c>
      <c r="T587" s="63"/>
      <c r="U587" s="5"/>
      <c r="W587" s="5"/>
      <c r="X587" s="17"/>
      <c r="Y587" s="8"/>
      <c r="AC587" s="18"/>
    </row>
    <row r="588" spans="1:44">
      <c r="A588" s="1" t="s">
        <v>837</v>
      </c>
      <c r="B588" s="1" t="s">
        <v>876</v>
      </c>
      <c r="C588" s="1" t="s">
        <v>225</v>
      </c>
      <c r="D588" s="1" t="s">
        <v>878</v>
      </c>
      <c r="T588" s="63"/>
      <c r="U588" s="5"/>
      <c r="W588" s="5"/>
      <c r="X588" s="17"/>
      <c r="Y588" s="8"/>
      <c r="AC588" s="18"/>
    </row>
    <row r="589" spans="1:44">
      <c r="A589" s="1" t="s">
        <v>837</v>
      </c>
      <c r="B589" s="1" t="s">
        <v>876</v>
      </c>
      <c r="C589" s="1" t="s">
        <v>225</v>
      </c>
      <c r="D589" s="1" t="s">
        <v>92</v>
      </c>
      <c r="G589" s="2" t="str">
        <f>HYPERLINK(CONCATENATE(TabelleURL!$B$1,"32_ADIF/332RE01.pdf"), "332RE01KA")</f>
        <v>332RE01KA</v>
      </c>
      <c r="I589" s="2" t="str">
        <f>HYPERLINK(CONCATENATE(TabelleURL!$B$1,"342_ADIF/342RE01ZI.pdf"), "342RE01/0/ZI")</f>
        <v>342RE01/0/ZI</v>
      </c>
      <c r="T589" s="63"/>
      <c r="U589" s="5"/>
      <c r="W589" s="5"/>
      <c r="X589" s="17"/>
      <c r="Y589" s="8"/>
      <c r="AC589" s="18"/>
      <c r="AR589" s="3" t="s">
        <v>879</v>
      </c>
    </row>
    <row r="590" spans="1:44">
      <c r="A590" s="1" t="s">
        <v>837</v>
      </c>
      <c r="B590" s="1" t="s">
        <v>876</v>
      </c>
      <c r="C590" s="1" t="s">
        <v>258</v>
      </c>
      <c r="D590" s="1" t="s">
        <v>27</v>
      </c>
      <c r="G590" s="2" t="str">
        <f>HYPERLINK(CONCATENATE(TabelleURL!$B$1,"32_ADIF/332RE01.pdf"), "332RE01KA")</f>
        <v>332RE01KA</v>
      </c>
      <c r="I590" s="2" t="str">
        <f>HYPERLINK(CONCATENATE(TabelleURL!$B$1,"342_ADIF/342RE01ZI.pdf"), "342RE01/0/ZI")</f>
        <v>342RE01/0/ZI</v>
      </c>
      <c r="M590" s="5" t="str">
        <f>HYPERLINK(CONCATENATE(TabelleURL!$B$1,"345_Signalbox/3450267.pdf"), "3450267")</f>
        <v>3450267</v>
      </c>
      <c r="T590" s="63"/>
      <c r="U590" s="5"/>
      <c r="W590" s="5"/>
      <c r="X590" s="17"/>
      <c r="Y590" s="8"/>
      <c r="AC590" s="18"/>
    </row>
    <row r="591" spans="1:44">
      <c r="A591" s="1" t="s">
        <v>837</v>
      </c>
      <c r="B591" s="1" t="s">
        <v>880</v>
      </c>
      <c r="C591" s="1" t="s">
        <v>219</v>
      </c>
      <c r="D591" s="1" t="s">
        <v>631</v>
      </c>
      <c r="T591" s="63"/>
      <c r="U591" s="5"/>
      <c r="W591" s="5"/>
      <c r="X591" s="17"/>
      <c r="Y591" s="8"/>
      <c r="AC591" s="18"/>
    </row>
    <row r="592" spans="1:44">
      <c r="A592" s="1" t="s">
        <v>837</v>
      </c>
      <c r="B592" s="1" t="s">
        <v>880</v>
      </c>
      <c r="C592" s="1" t="s">
        <v>881</v>
      </c>
      <c r="D592" s="1" t="s">
        <v>567</v>
      </c>
      <c r="G592" s="2" t="str">
        <f>HYPERLINK(CONCATENATE(TabelleURL!$B$1,"32_ADIF/332RE01.pdf"), "332RE01KA")</f>
        <v>332RE01KA</v>
      </c>
      <c r="I592" s="2" t="str">
        <f>HYPERLINK(CONCATENATE(TabelleURL!$B$1,"342_ADIF/342RE01ZI.pdf"), "342RE01/0/ZI")</f>
        <v>342RE01/0/ZI</v>
      </c>
      <c r="T592" s="63"/>
      <c r="U592" s="5"/>
      <c r="W592" s="5"/>
      <c r="X592" s="17"/>
      <c r="Y592" s="8"/>
      <c r="AB592" s="2" t="s">
        <v>127</v>
      </c>
      <c r="AC592" s="18"/>
      <c r="AR592" s="3" t="s">
        <v>882</v>
      </c>
    </row>
    <row r="593" spans="1:44">
      <c r="A593" s="1" t="s">
        <v>837</v>
      </c>
      <c r="B593" s="1" t="s">
        <v>880</v>
      </c>
      <c r="C593" s="1" t="s">
        <v>883</v>
      </c>
      <c r="D593" s="1" t="s">
        <v>29</v>
      </c>
      <c r="G593" s="2" t="str">
        <f>HYPERLINK(CONCATENATE(TabelleURL!$B$1,"332_ADIF/332RE03.pdf"), "332RE03")</f>
        <v>332RE03</v>
      </c>
      <c r="M593" s="5" t="str">
        <f>HYPERLINK(CONCATENATE(TabelleURL!$B$1,"345_Signalbox/3450271.pdf"), "3450271")</f>
        <v>3450271</v>
      </c>
      <c r="R593" s="66" t="s">
        <v>221</v>
      </c>
      <c r="S593" s="67" t="str">
        <f>HYPERLINK(CONCATENATE(TabelleURL!$B$1,"347_URI/3474785.pdf"), "B-3474785")</f>
        <v>B-3474785</v>
      </c>
      <c r="T593" s="63">
        <v>3474785</v>
      </c>
      <c r="U593" s="5" t="s">
        <v>874</v>
      </c>
      <c r="W593" s="5"/>
      <c r="X593" s="17"/>
      <c r="Y593" s="8"/>
      <c r="AC593" s="18"/>
      <c r="AF593" s="8" t="str">
        <f>HYPERLINK(CONCATENATE(TabelleURL!$B$1,"340_Helfer/3404702.pdf"), "B-3404702")</f>
        <v>B-3404702</v>
      </c>
      <c r="AR593" s="3" t="s">
        <v>884</v>
      </c>
    </row>
    <row r="594" spans="1:44">
      <c r="A594" s="1" t="s">
        <v>837</v>
      </c>
      <c r="B594" s="1" t="s">
        <v>885</v>
      </c>
      <c r="C594" s="1" t="s">
        <v>886</v>
      </c>
      <c r="D594" s="1" t="s">
        <v>344</v>
      </c>
      <c r="T594" s="63"/>
      <c r="U594" s="5"/>
      <c r="W594" s="5"/>
      <c r="X594" s="17"/>
      <c r="Y594" s="8"/>
      <c r="AC594" s="18"/>
    </row>
    <row r="595" spans="1:44">
      <c r="A595" s="1" t="s">
        <v>837</v>
      </c>
      <c r="B595" s="1" t="s">
        <v>885</v>
      </c>
      <c r="C595" s="1" t="s">
        <v>887</v>
      </c>
      <c r="D595" s="1" t="s">
        <v>251</v>
      </c>
      <c r="E595" s="76" t="s">
        <v>888</v>
      </c>
      <c r="T595" s="63"/>
      <c r="U595" s="5"/>
      <c r="W595" s="5"/>
      <c r="X595" s="17"/>
      <c r="Y595" s="8"/>
      <c r="AC595" s="18"/>
    </row>
    <row r="596" spans="1:44">
      <c r="A596" s="1" t="s">
        <v>837</v>
      </c>
      <c r="B596" s="1" t="s">
        <v>889</v>
      </c>
      <c r="C596" s="1" t="s">
        <v>890</v>
      </c>
      <c r="D596" s="1" t="s">
        <v>786</v>
      </c>
      <c r="T596" s="63"/>
      <c r="U596" s="5"/>
      <c r="W596" s="5"/>
      <c r="X596" s="17"/>
      <c r="Y596" s="8"/>
      <c r="AC596" s="18"/>
    </row>
    <row r="597" spans="1:44">
      <c r="A597" s="1" t="s">
        <v>837</v>
      </c>
      <c r="B597" s="1" t="s">
        <v>889</v>
      </c>
      <c r="C597" s="1" t="s">
        <v>891</v>
      </c>
      <c r="D597" s="1" t="s">
        <v>622</v>
      </c>
      <c r="T597" s="63"/>
      <c r="U597" s="5"/>
      <c r="W597" s="5"/>
      <c r="X597" s="17"/>
      <c r="Y597" s="8"/>
      <c r="AC597" s="18"/>
    </row>
    <row r="598" spans="1:44">
      <c r="A598" s="1" t="s">
        <v>837</v>
      </c>
      <c r="B598" s="1" t="s">
        <v>889</v>
      </c>
      <c r="C598" s="1" t="s">
        <v>892</v>
      </c>
      <c r="D598" s="1" t="s">
        <v>410</v>
      </c>
      <c r="E598" s="76" t="s">
        <v>893</v>
      </c>
      <c r="T598" s="63"/>
      <c r="U598" s="5"/>
      <c r="W598" s="5"/>
      <c r="X598" s="17"/>
      <c r="Y598" s="8"/>
      <c r="AC598" s="18"/>
    </row>
    <row r="599" spans="1:44">
      <c r="A599" s="1" t="s">
        <v>837</v>
      </c>
      <c r="B599" s="1" t="s">
        <v>889</v>
      </c>
      <c r="C599" s="1" t="s">
        <v>894</v>
      </c>
      <c r="D599" s="1" t="s">
        <v>201</v>
      </c>
      <c r="G599" s="2" t="str">
        <f>HYPERLINK(CONCATENATE(TabelleURL!$B$1,"32_ADIF/332RE01.pdf"), "332RE01KA")</f>
        <v>332RE01KA</v>
      </c>
      <c r="I599" s="2" t="str">
        <f>HYPERLINK(CONCATENATE(TabelleURL!$B$1,"342_ADIF/342RE01ZI.pdf"), "342RE01/0/ZI")</f>
        <v>342RE01/0/ZI</v>
      </c>
      <c r="T599" s="63"/>
      <c r="U599" s="5"/>
      <c r="W599" s="5"/>
      <c r="X599" s="17"/>
      <c r="Y599" s="8"/>
      <c r="AC599" s="18"/>
    </row>
    <row r="600" spans="1:44">
      <c r="A600" s="1" t="s">
        <v>837</v>
      </c>
      <c r="B600" s="1" t="s">
        <v>889</v>
      </c>
      <c r="C600" s="1" t="s">
        <v>895</v>
      </c>
      <c r="D600" s="1" t="s">
        <v>213</v>
      </c>
      <c r="G600" s="2" t="str">
        <f>HYPERLINK(CONCATENATE(TabelleURL!$B$1,"332_ADIF/332RE03.pdf"), "332RE03")</f>
        <v>332RE03</v>
      </c>
      <c r="M600" s="5" t="str">
        <f>HYPERLINK(CONCATENATE(TabelleURL!$B$1,"345_Signalbox/3450271.pdf"), "3450271")</f>
        <v>3450271</v>
      </c>
      <c r="R600" s="66" t="s">
        <v>221</v>
      </c>
      <c r="S600" s="67" t="str">
        <f>HYPERLINK(CONCATENATE(TabelleURL!$B$1,"347_URI/3474785.pdf"), "B-3474785")</f>
        <v>B-3474785</v>
      </c>
      <c r="T600" s="63">
        <v>3474785</v>
      </c>
      <c r="U600" s="5" t="s">
        <v>874</v>
      </c>
      <c r="W600" s="5"/>
      <c r="X600" s="17"/>
      <c r="Y600" s="8"/>
      <c r="AC600" s="18"/>
      <c r="AF600" s="8" t="str">
        <f>HYPERLINK(CONCATENATE(TabelleURL!$B$1,"340_Helfer/3404702.pdf"), "B-3404702")</f>
        <v>B-3404702</v>
      </c>
    </row>
    <row r="601" spans="1:44">
      <c r="A601" s="1" t="s">
        <v>837</v>
      </c>
      <c r="B601" s="1" t="s">
        <v>889</v>
      </c>
      <c r="C601" s="1" t="s">
        <v>896</v>
      </c>
      <c r="D601" s="1" t="s">
        <v>61</v>
      </c>
      <c r="E601" s="76" t="s">
        <v>893</v>
      </c>
      <c r="G601" s="2" t="str">
        <f>HYPERLINK(CONCATENATE(TabelleURL!$B$1,"332_ADIF/332RE03.pdf"), "332RE03")</f>
        <v>332RE03</v>
      </c>
      <c r="M601" s="5" t="str">
        <f>HYPERLINK(CONCATENATE(TabelleURL!$B$1,"345_Signalbox/3450271.pdf"), "3450271")</f>
        <v>3450271</v>
      </c>
      <c r="R601" s="66" t="s">
        <v>221</v>
      </c>
      <c r="S601" s="67" t="str">
        <f>HYPERLINK(CONCATENATE(TabelleURL!$B$1,"347_URI/3474785.pdf"), "B-3474785")</f>
        <v>B-3474785</v>
      </c>
      <c r="T601" s="63">
        <v>3474785</v>
      </c>
      <c r="U601" s="5" t="s">
        <v>874</v>
      </c>
      <c r="W601" s="5"/>
      <c r="X601" s="17"/>
      <c r="Y601" s="8"/>
      <c r="AC601" s="18"/>
      <c r="AF601" s="8" t="str">
        <f>HYPERLINK(CONCATENATE(TabelleURL!$B$1,"340_Helfer/3404702.pdf"), "B-3404702")</f>
        <v>B-3404702</v>
      </c>
    </row>
    <row r="602" spans="1:44" ht="22.5">
      <c r="A602" s="1" t="s">
        <v>837</v>
      </c>
      <c r="B602" s="1" t="s">
        <v>889</v>
      </c>
      <c r="C602" s="1" t="s">
        <v>896</v>
      </c>
      <c r="D602" s="1" t="s">
        <v>61</v>
      </c>
      <c r="E602" s="76" t="s">
        <v>873</v>
      </c>
      <c r="G602" s="2" t="str">
        <f>HYPERLINK(CONCATENATE(TabelleURL!$B$1,"332_ADIF/332RE03.pdf"), "332RE03")</f>
        <v>332RE03</v>
      </c>
      <c r="M602" s="5" t="str">
        <f>HYPERLINK(CONCATENATE(TabelleURL!$B$1,"345_Signalbox/3450271.pdf"), "3450271")</f>
        <v>3450271</v>
      </c>
      <c r="R602" s="66" t="s">
        <v>221</v>
      </c>
      <c r="S602" s="67" t="str">
        <f>HYPERLINK(CONCATENATE(TabelleURL!$B$1,"347_URI/3474785.pdf"), "B-3474785")</f>
        <v>B-3474785</v>
      </c>
      <c r="T602" s="63">
        <v>3474785</v>
      </c>
      <c r="U602" s="5" t="s">
        <v>874</v>
      </c>
      <c r="W602" s="5"/>
      <c r="X602" s="17"/>
      <c r="Y602" s="8"/>
      <c r="AC602" s="18"/>
      <c r="AF602" s="8" t="str">
        <f>HYPERLINK(CONCATENATE(TabelleURL!$B$1,"340_Helfer/3404702.pdf"), "B-3404702")</f>
        <v>B-3404702</v>
      </c>
    </row>
    <row r="603" spans="1:44">
      <c r="A603" s="1" t="s">
        <v>837</v>
      </c>
      <c r="B603" s="1" t="s">
        <v>1401</v>
      </c>
      <c r="C603" s="1" t="s">
        <v>862</v>
      </c>
      <c r="D603" s="82" t="s">
        <v>73</v>
      </c>
      <c r="G603" s="2" t="str">
        <f>HYPERLINK(CONCATENATE(TabelleURL!$B$1,"332_ADIF/332RE03.pdf"), "332RE03")</f>
        <v>332RE03</v>
      </c>
      <c r="M603" s="5" t="str">
        <f>HYPERLINK(CONCATENATE(TabelleURL!$B$1,"345_Signalbox/3450271.pdf"), "3450271")</f>
        <v>3450271</v>
      </c>
      <c r="T603" s="63"/>
      <c r="U603" s="5"/>
      <c r="W603" s="5"/>
      <c r="X603" s="17"/>
      <c r="Y603" s="8"/>
      <c r="AC603" s="18"/>
      <c r="AF603" s="8" t="str">
        <f>HYPERLINK(CONCATENATE(TabelleURL!$B$1,"340_Helfer/3404702.pdf"), "B-3404702")</f>
        <v>B-3404702</v>
      </c>
    </row>
    <row r="604" spans="1:44">
      <c r="A604" s="1" t="s">
        <v>837</v>
      </c>
      <c r="B604" s="1" t="s">
        <v>897</v>
      </c>
      <c r="C604" s="1" t="s">
        <v>862</v>
      </c>
      <c r="D604" s="1" t="s">
        <v>898</v>
      </c>
      <c r="T604" s="63"/>
      <c r="U604" s="5"/>
      <c r="W604" s="5"/>
      <c r="X604" s="17"/>
      <c r="Y604" s="8"/>
      <c r="AC604" s="18"/>
    </row>
    <row r="605" spans="1:44">
      <c r="A605" s="1" t="s">
        <v>837</v>
      </c>
      <c r="B605" s="1" t="s">
        <v>897</v>
      </c>
      <c r="C605" s="1" t="s">
        <v>899</v>
      </c>
      <c r="D605" s="1" t="s">
        <v>740</v>
      </c>
      <c r="G605" s="2" t="str">
        <f>HYPERLINK(CONCATENATE(TabelleURL!$B$1,"342_ADIF/342RE02.pdf"), "342RE02/0")</f>
        <v>342RE02/0</v>
      </c>
      <c r="M605" s="5" t="str">
        <f>HYPERLINK(CONCATENATE(TabelleURL!$B$1,"345_Signalbox/3450263.pdf"), "3450263")</f>
        <v>3450263</v>
      </c>
      <c r="T605" s="63">
        <v>3470004</v>
      </c>
      <c r="U605" s="5" t="s">
        <v>854</v>
      </c>
      <c r="W605" s="5"/>
      <c r="X605" s="17"/>
      <c r="Y605" s="8"/>
      <c r="AC605" s="18"/>
    </row>
    <row r="606" spans="1:44">
      <c r="A606" s="1" t="s">
        <v>837</v>
      </c>
      <c r="B606" s="1" t="s">
        <v>897</v>
      </c>
      <c r="C606" s="1" t="s">
        <v>900</v>
      </c>
      <c r="D606" s="1" t="s">
        <v>742</v>
      </c>
      <c r="G606" s="2" t="str">
        <f>HYPERLINK(CONCATENATE(TabelleURL!$B$1,"342_ADIF/342RE02.pdf"), "342RE02/0")</f>
        <v>342RE02/0</v>
      </c>
      <c r="T606" s="63">
        <v>3470004</v>
      </c>
      <c r="U606" s="5" t="s">
        <v>854</v>
      </c>
      <c r="W606" s="5"/>
      <c r="X606" s="17"/>
      <c r="Y606" s="8"/>
      <c r="AB606" s="2" t="s">
        <v>901</v>
      </c>
      <c r="AC606" s="18"/>
    </row>
    <row r="607" spans="1:44">
      <c r="A607" s="1" t="s">
        <v>837</v>
      </c>
      <c r="B607" s="1" t="s">
        <v>897</v>
      </c>
      <c r="C607" s="1" t="s">
        <v>258</v>
      </c>
      <c r="D607" s="1" t="s">
        <v>116</v>
      </c>
      <c r="G607" s="2" t="str">
        <f>HYPERLINK(CONCATENATE(TabelleURL!$B$1,"332_ADIF/332RE03.pdf"), "332RE03")</f>
        <v>332RE03</v>
      </c>
      <c r="M607" s="5" t="str">
        <f>HYPERLINK(CONCATENATE(TabelleURL!$B$1,"345_Signalbox/3450271.pdf"), "3450271")</f>
        <v>3450271</v>
      </c>
      <c r="T607" s="63"/>
      <c r="U607" s="5"/>
      <c r="W607" s="5"/>
      <c r="X607" s="17"/>
      <c r="Y607" s="8"/>
      <c r="AB607" s="2" t="s">
        <v>127</v>
      </c>
      <c r="AC607" s="18"/>
    </row>
    <row r="608" spans="1:44">
      <c r="A608" s="1" t="s">
        <v>837</v>
      </c>
      <c r="B608" s="1" t="s">
        <v>902</v>
      </c>
      <c r="C608" s="1" t="s">
        <v>225</v>
      </c>
      <c r="D608" s="1" t="s">
        <v>742</v>
      </c>
      <c r="T608" s="63"/>
      <c r="U608" s="5"/>
      <c r="W608" s="5"/>
      <c r="X608" s="17"/>
      <c r="Y608" s="8"/>
      <c r="AB608" s="2" t="s">
        <v>55</v>
      </c>
      <c r="AC608" s="18"/>
    </row>
    <row r="609" spans="1:46">
      <c r="A609" s="1" t="s">
        <v>837</v>
      </c>
      <c r="B609" s="1" t="s">
        <v>902</v>
      </c>
      <c r="C609" s="1" t="s">
        <v>903</v>
      </c>
      <c r="D609" s="1" t="s">
        <v>116</v>
      </c>
      <c r="G609" s="2" t="str">
        <f>HYPERLINK(CONCATENATE(TabelleURL!$B$1,"332_ADIF/332RE03.pdf"), "332RE03")</f>
        <v>332RE03</v>
      </c>
      <c r="M609" s="5" t="str">
        <f>HYPERLINK(CONCATENATE(TabelleURL!$B$1,"345_Signalbox/3450271.pdf"), "3450271")</f>
        <v>3450271</v>
      </c>
      <c r="T609" s="63"/>
      <c r="U609" s="5"/>
      <c r="W609" s="5"/>
      <c r="X609" s="17"/>
      <c r="Y609" s="8"/>
      <c r="AC609" s="18"/>
    </row>
    <row r="610" spans="1:46">
      <c r="A610" s="1" t="s">
        <v>837</v>
      </c>
      <c r="B610" s="1" t="s">
        <v>904</v>
      </c>
      <c r="D610" s="1" t="s">
        <v>86</v>
      </c>
      <c r="T610" s="63"/>
      <c r="U610" s="5"/>
      <c r="W610" s="5"/>
      <c r="X610" s="17"/>
      <c r="Y610" s="8"/>
      <c r="AB610" s="2" t="s">
        <v>127</v>
      </c>
      <c r="AC610" s="18"/>
    </row>
    <row r="611" spans="1:46">
      <c r="A611" s="1" t="s">
        <v>837</v>
      </c>
      <c r="B611" s="1" t="s">
        <v>905</v>
      </c>
      <c r="D611" s="1" t="s">
        <v>27</v>
      </c>
      <c r="T611" s="63"/>
      <c r="U611" s="5"/>
      <c r="W611" s="5"/>
      <c r="X611" s="17"/>
      <c r="Y611" s="8"/>
      <c r="AC611" s="18"/>
    </row>
    <row r="612" spans="1:46">
      <c r="A612" s="1" t="s">
        <v>906</v>
      </c>
      <c r="B612" s="1" t="s">
        <v>907</v>
      </c>
      <c r="C612" s="1" t="s">
        <v>908</v>
      </c>
      <c r="D612" s="1" t="s">
        <v>909</v>
      </c>
      <c r="T612" s="63"/>
      <c r="U612" s="5"/>
      <c r="W612" s="5"/>
      <c r="X612" s="17"/>
      <c r="Y612" s="8"/>
      <c r="AC612" s="18"/>
    </row>
    <row r="613" spans="1:46">
      <c r="A613" s="1" t="s">
        <v>906</v>
      </c>
      <c r="B613" s="1" t="s">
        <v>907</v>
      </c>
      <c r="C613" s="1" t="s">
        <v>910</v>
      </c>
      <c r="D613" s="1" t="s">
        <v>911</v>
      </c>
      <c r="T613" s="63"/>
      <c r="U613" s="5"/>
      <c r="W613" s="5"/>
      <c r="X613" s="17"/>
      <c r="Y613" s="8"/>
      <c r="AC613" s="18"/>
    </row>
    <row r="614" spans="1:46">
      <c r="A614" s="1" t="s">
        <v>906</v>
      </c>
      <c r="B614" s="1" t="s">
        <v>912</v>
      </c>
      <c r="C614" s="1" t="s">
        <v>219</v>
      </c>
      <c r="D614" s="1" t="s">
        <v>21</v>
      </c>
      <c r="T614" s="63"/>
      <c r="U614" s="5"/>
      <c r="W614" s="5"/>
      <c r="X614" s="17"/>
      <c r="Y614" s="8"/>
      <c r="AC614" s="18"/>
    </row>
    <row r="615" spans="1:46">
      <c r="A615" s="1" t="s">
        <v>906</v>
      </c>
      <c r="B615" s="1" t="s">
        <v>912</v>
      </c>
      <c r="C615" s="1" t="s">
        <v>225</v>
      </c>
      <c r="D615" s="1" t="s">
        <v>27</v>
      </c>
      <c r="E615" s="76" t="s">
        <v>214</v>
      </c>
      <c r="G615" s="2" t="str">
        <f>HYPERLINK(CONCATENATE(TabelleURL!$B$1,"332_ADIF/332OP04.pdf"), "332OP04KA")</f>
        <v>332OP04KA</v>
      </c>
      <c r="I615" s="2" t="str">
        <f>HYPERLINK(CONCATENATE(TabelleURL!$B$1,"332_ADIF/332OP04ZI.pdf"), "332OP04/0/ZI")</f>
        <v>332OP04/0/ZI</v>
      </c>
      <c r="M615" s="5" t="str">
        <f>HYPERLINK(CONCATENATE(TabelleURL!$B$1,"345_Signalbox/3450256.pdf"), "3450256")</f>
        <v>3450256</v>
      </c>
      <c r="T615" s="63"/>
      <c r="U615" s="5"/>
      <c r="W615" s="5"/>
      <c r="X615" s="17"/>
      <c r="Y615" s="8"/>
      <c r="AC615" s="18"/>
      <c r="AI615" s="5" t="str">
        <f>HYPERLINK(CONCATENATE(TabelleURL!$B$1,"3499_Taxi/34990084.pdf"), "34990084")</f>
        <v>34990084</v>
      </c>
    </row>
    <row r="616" spans="1:46">
      <c r="A616" s="1" t="s">
        <v>906</v>
      </c>
      <c r="B616" s="1" t="s">
        <v>912</v>
      </c>
      <c r="C616" s="1" t="s">
        <v>225</v>
      </c>
      <c r="D616" s="1" t="s">
        <v>27</v>
      </c>
      <c r="E616" s="76" t="s">
        <v>215</v>
      </c>
      <c r="G616" s="2" t="str">
        <f>HYPERLINK(CONCATENATE(TabelleURL!$B$1,"332_ADIF/332OP04.pdf"), "332OP04KA")</f>
        <v>332OP04KA</v>
      </c>
      <c r="I616" s="2" t="str">
        <f>HYPERLINK(CONCATENATE(TabelleURL!$B$1,"332_ADIF/332OP04ZI.pdf"), "332OP04/0/ZI")</f>
        <v>332OP04/0/ZI</v>
      </c>
      <c r="M616" s="5" t="str">
        <f>HYPERLINK(CONCATENATE(TabelleURL!$B$1,"345_Signalbox/3450256.pdf"), "3450256")</f>
        <v>3450256</v>
      </c>
      <c r="T616" s="63"/>
      <c r="U616" s="5"/>
      <c r="W616" s="5"/>
      <c r="X616" s="17"/>
      <c r="Y616" s="8"/>
      <c r="AC616" s="18"/>
      <c r="AI616" s="5" t="str">
        <f>HYPERLINK(CONCATENATE(TabelleURL!$B$1,"3499_Taxi/34990084.pdf"), "34990084")</f>
        <v>34990084</v>
      </c>
    </row>
    <row r="617" spans="1:46">
      <c r="A617" s="1" t="s">
        <v>913</v>
      </c>
      <c r="B617" s="1" t="s">
        <v>914</v>
      </c>
      <c r="D617" s="1" t="s">
        <v>67</v>
      </c>
      <c r="I617" s="2" t="str">
        <f>HYPERLINK(CONCATENATE(TabelleURL!$B$1,"342_ADIF/342FMS01ZI.pdf"), "342FMS01/0/ZI")</f>
        <v>342FMS01/0/ZI</v>
      </c>
      <c r="R617" s="66" t="s">
        <v>221</v>
      </c>
      <c r="S617" s="67" t="str">
        <f>HYPERLINK(CONCATENATE(TabelleURL!$B$1,"347_URI/3474791.pdf"), "B-3474791")</f>
        <v>B-3474791</v>
      </c>
      <c r="T617" s="63">
        <v>3474791</v>
      </c>
      <c r="U617" s="5" t="s">
        <v>915</v>
      </c>
      <c r="W617" s="5"/>
      <c r="X617" s="17"/>
      <c r="Y617" s="8"/>
      <c r="AC617" s="18"/>
    </row>
    <row r="618" spans="1:46">
      <c r="A618" s="1" t="s">
        <v>913</v>
      </c>
      <c r="B618" s="1" t="s">
        <v>914</v>
      </c>
      <c r="D618" s="1" t="s">
        <v>255</v>
      </c>
      <c r="I618" s="2" t="str">
        <f>HYPERLINK(CONCATENATE(TabelleURL!$B$1,"342_ADIF/342FMS01ZI.pdf"), "342FMS01/0/ZI")</f>
        <v>342FMS01/0/ZI</v>
      </c>
      <c r="R618" s="66" t="s">
        <v>221</v>
      </c>
      <c r="S618" s="67" t="str">
        <f>HYPERLINK(CONCATENATE(TabelleURL!$B$1,"347_URI/3474791.pdf"), "B-3474791")</f>
        <v>B-3474791</v>
      </c>
      <c r="T618" s="63">
        <v>3474791</v>
      </c>
      <c r="U618" s="5" t="s">
        <v>915</v>
      </c>
      <c r="W618" s="5"/>
      <c r="X618" s="17"/>
      <c r="Y618" s="8"/>
      <c r="AC618" s="18"/>
    </row>
    <row r="619" spans="1:46">
      <c r="A619" s="1" t="s">
        <v>913</v>
      </c>
      <c r="B619" s="1" t="s">
        <v>914</v>
      </c>
      <c r="D619" s="1" t="s">
        <v>916</v>
      </c>
      <c r="I619" s="2" t="str">
        <f>HYPERLINK(CONCATENATE(TabelleURL!$B$1,"342_ADIF/342FMS01ZI.pdf"), "342FMS01/0/ZI")</f>
        <v>342FMS01/0/ZI</v>
      </c>
      <c r="R619" s="66" t="s">
        <v>221</v>
      </c>
      <c r="S619" s="67" t="str">
        <f>HYPERLINK(CONCATENATE(TabelleURL!$B$1,"347_URI/3474791.pdf"), "B-3474791")</f>
        <v>B-3474791</v>
      </c>
      <c r="T619" s="63">
        <v>3474791</v>
      </c>
      <c r="U619" s="5" t="s">
        <v>915</v>
      </c>
      <c r="W619" s="5"/>
      <c r="X619" s="17"/>
      <c r="Y619" s="8"/>
      <c r="AA619" s="4">
        <v>3614791</v>
      </c>
      <c r="AC619" s="18"/>
    </row>
    <row r="620" spans="1:46">
      <c r="A620" s="1" t="s">
        <v>917</v>
      </c>
      <c r="B620" s="1" t="s">
        <v>918</v>
      </c>
      <c r="D620" s="1" t="s">
        <v>919</v>
      </c>
      <c r="E620" s="76" t="s">
        <v>56</v>
      </c>
      <c r="R620" s="66" t="s">
        <v>45</v>
      </c>
      <c r="S620" s="67" t="str">
        <f>HYPERLINK(CONCATENATE(TabelleURL!$B$1,"341_RC_Interface/3414704.pdf"), "B-3414704")</f>
        <v>B-3414704</v>
      </c>
      <c r="T620" s="63"/>
      <c r="U620" s="5"/>
      <c r="W620" s="5" t="s">
        <v>46</v>
      </c>
      <c r="X620" s="17"/>
      <c r="Y620" s="8"/>
      <c r="AC620" s="18"/>
    </row>
    <row r="621" spans="1:46">
      <c r="A621" s="1" t="s">
        <v>917</v>
      </c>
      <c r="B621" s="1" t="s">
        <v>918</v>
      </c>
      <c r="C621" s="1" t="s">
        <v>920</v>
      </c>
      <c r="D621" s="1" t="s">
        <v>21</v>
      </c>
      <c r="E621" s="76" t="s">
        <v>157</v>
      </c>
      <c r="R621" s="66" t="s">
        <v>11</v>
      </c>
      <c r="S621" s="67" t="str">
        <f>HYPERLINK(CONCATENATE(TabelleURL!$B$1,"344_URI2/3444755.pdf"), "B-3444755")</f>
        <v>B-3444755</v>
      </c>
      <c r="T621" s="63">
        <v>3470005</v>
      </c>
      <c r="U621" s="5" t="s">
        <v>51</v>
      </c>
      <c r="W621" s="5" t="s">
        <v>46</v>
      </c>
      <c r="X621" s="17"/>
      <c r="Y621" s="8"/>
      <c r="AC621" s="18"/>
      <c r="AF621" s="8" t="str">
        <f>HYPERLINK(CONCATENATE(TabelleURL!$B$1,"340_Helfer/3404700.pdf"), "B-3404700")</f>
        <v>B-3404700</v>
      </c>
      <c r="AG621" s="2"/>
      <c r="AL621" s="3" t="s">
        <v>7</v>
      </c>
      <c r="AN621" s="2" t="str">
        <f>HYPERLINK(CONCATENATE(TabelleURL!$B$1,"350_RICI_PDC_OBI/3500031 OBI Alfa BMW Fiat Merc Opel VW D_E.pdf"), "3500031")</f>
        <v>3500031</v>
      </c>
    </row>
    <row r="622" spans="1:46">
      <c r="A622" s="1" t="s">
        <v>917</v>
      </c>
      <c r="B622" s="1" t="s">
        <v>921</v>
      </c>
      <c r="C622" s="1" t="s">
        <v>922</v>
      </c>
      <c r="D622" s="1" t="s">
        <v>27</v>
      </c>
      <c r="G622" s="2" t="str">
        <f>HYPERLINK(CONCATENATE(TabelleURL!$B$1,"342_ADIF/342VW01.pdf"), "342VW01/0/KA")</f>
        <v>342VW01/0/KA</v>
      </c>
      <c r="H622" s="2" t="s">
        <v>923</v>
      </c>
      <c r="I622" s="2" t="str">
        <f>HYPERLINK(CONCATENATE(TabelleURL!$B$1,"332_ADIF/332VW01ZI.pdf"), " 332VW01ZI")</f>
        <v xml:space="preserve"> 332VW01ZI</v>
      </c>
      <c r="M622" s="5" t="str">
        <f>HYPERLINK(CONCATENATE(TabelleURL!$B$1,"345_Signalbox/3450258.pdf"), "3450258")</f>
        <v>3450258</v>
      </c>
      <c r="N622" s="5" t="str">
        <f>HYPERLINK(CONCATENATE(TabelleURL!$B$1,"345_Signalbox/3450258-H.pdf"), "3450258-H")</f>
        <v>3450258-H</v>
      </c>
      <c r="P622" s="5" t="str">
        <f>HYPERLINK(CONCATENATE(TabelleURL!$B$1,"345_Signalbox/3450258-W.pdf"), "3450258-W")</f>
        <v>3450258-W</v>
      </c>
      <c r="R622" s="66" t="s">
        <v>221</v>
      </c>
      <c r="S622" s="67" t="str">
        <f>HYPERLINK(CONCATENATE(TabelleURL!$B$1,"344_URI2/3444756.pdf"), "B-3444756")</f>
        <v>B-3444756</v>
      </c>
      <c r="T622" s="63">
        <v>3474756</v>
      </c>
      <c r="U622" s="5" t="s">
        <v>51</v>
      </c>
      <c r="V622" s="4" t="str">
        <f>HYPERLINK(CONCATENATE(TabelleURL!$B$1,"344_URI2/3444756.pdf"), "B-3444756")</f>
        <v>B-3444756</v>
      </c>
      <c r="W622" s="5"/>
      <c r="X622" s="17"/>
      <c r="Y622" s="8"/>
      <c r="AA622" s="4">
        <v>3670403</v>
      </c>
      <c r="AC622" s="18"/>
      <c r="AE622" s="2" t="str">
        <f>HYPERLINK(CONCATENATE(TabelleURL!$B$1,"367/3674755-RVC.pdf"), "3674755-RVC")</f>
        <v>3674755-RVC</v>
      </c>
      <c r="AF622" s="8" t="str">
        <f>HYPERLINK(CONCATENATE(TabelleURL!$B$1,"340_Helfer/3404700.pdf"), "B-3404700")</f>
        <v>B-3404700</v>
      </c>
      <c r="AG622" s="2" t="str">
        <f>HYPERLINK(CONCATENATE(TabelleURL!$B$1,"340_Helfer/3404701.pdf"), "3404701")</f>
        <v>3404701</v>
      </c>
      <c r="AH622" s="4" t="str">
        <f>HYPERLINK(CONCATENATE(TabelleURL!$B$1,"346_CAN2com/3475.pdf"), "3475857")</f>
        <v>3475857</v>
      </c>
      <c r="AI622" s="5" t="str">
        <f>HYPERLINK(CONCATENATE(TabelleURL!$B$1,"3499_Taxi/34990050.pdf"), "34990050")</f>
        <v>34990050</v>
      </c>
      <c r="AJ622" s="5" t="str">
        <f>HYPERLINK(CONCATENATE(TabelleURL!$B$1,"3499_Taxi/34990050-1.pdf"), "34990050-1")</f>
        <v>34990050-1</v>
      </c>
      <c r="AP622" s="2" t="str">
        <f>HYPERLINK(CONCATENATE(TabelleURL!$B$1,"367/3674700.pdf"), "3674700")</f>
        <v>3674700</v>
      </c>
      <c r="AT622" s="85"/>
    </row>
    <row r="623" spans="1:46">
      <c r="A623" s="1" t="s">
        <v>917</v>
      </c>
      <c r="B623" s="1" t="s">
        <v>921</v>
      </c>
      <c r="C623" s="1" t="s">
        <v>922</v>
      </c>
      <c r="D623" s="1" t="s">
        <v>27</v>
      </c>
      <c r="E623" s="76" t="s">
        <v>924</v>
      </c>
      <c r="G623" s="2" t="str">
        <f>HYPERLINK(CONCATENATE(TabelleURL!$B$1,"342_ADIF/342VW01.pdf"), "342VW01/0/KA")</f>
        <v>342VW01/0/KA</v>
      </c>
      <c r="H623" s="2" t="s">
        <v>923</v>
      </c>
      <c r="I623" s="2" t="str">
        <f>HYPERLINK(CONCATENATE(TabelleURL!$B$1,"332_ADIF/332VW01ZI.pdf"), " 332VW01ZI")</f>
        <v xml:space="preserve"> 332VW01ZI</v>
      </c>
      <c r="M623" s="5" t="str">
        <f>HYPERLINK(CONCATENATE(TabelleURL!$B$1,"345_Signalbox/3450258.pdf"), "3450258")</f>
        <v>3450258</v>
      </c>
      <c r="N623" s="5" t="str">
        <f>HYPERLINK(CONCATENATE(TabelleURL!$B$1,"345_Signalbox/3450258-H.pdf"), "3450258-H")</f>
        <v>3450258-H</v>
      </c>
      <c r="P623" s="5" t="str">
        <f>HYPERLINK(CONCATENATE(TabelleURL!$B$1,"345_Signalbox/3450258-W.pdf"), "3450258-W")</f>
        <v>3450258-W</v>
      </c>
      <c r="R623" s="66" t="s">
        <v>221</v>
      </c>
      <c r="S623" s="67" t="str">
        <f>HYPERLINK(CONCATENATE(TabelleURL!$B$1,"344_URI2/3444756.pdf"), "B-3444756")</f>
        <v>B-3444756</v>
      </c>
      <c r="T623" s="63">
        <v>3474756</v>
      </c>
      <c r="U623" s="5" t="s">
        <v>51</v>
      </c>
      <c r="V623" s="4" t="str">
        <f>HYPERLINK(CONCATENATE(TabelleURL!$B$1,"344_URI2/3444756.pdf"), "B-3444756")</f>
        <v>B-3444756</v>
      </c>
      <c r="W623" s="5"/>
      <c r="X623" s="17"/>
      <c r="Y623" s="8"/>
      <c r="AA623" s="4">
        <v>3670403</v>
      </c>
      <c r="AB623" s="2" t="s">
        <v>55</v>
      </c>
      <c r="AC623" s="18"/>
      <c r="AE623" s="2" t="str">
        <f>HYPERLINK(CONCATENATE(TabelleURL!$B$1,"367/3674755-RVC.pdf"), "3674755-RVC")</f>
        <v>3674755-RVC</v>
      </c>
      <c r="AF623" s="8" t="str">
        <f>HYPERLINK(CONCATENATE(TabelleURL!$B$1,"340_Helfer/3404700.pdf"), "B-3404700")</f>
        <v>B-3404700</v>
      </c>
      <c r="AG623" s="2" t="str">
        <f>HYPERLINK(CONCATENATE(TabelleURL!$B$1,"340_Helfer/3404701.pdf"), "3404701")</f>
        <v>3404701</v>
      </c>
      <c r="AH623" s="4" t="str">
        <f>HYPERLINK(CONCATENATE(TabelleURL!$B$1,"346_CAN2com/3475.pdf"), "3475857")</f>
        <v>3475857</v>
      </c>
      <c r="AI623" s="5" t="str">
        <f>HYPERLINK(CONCATENATE(TabelleURL!$B$1,"3499_Taxi/34990050.pdf"), "34990050")</f>
        <v>34990050</v>
      </c>
      <c r="AJ623" s="5" t="str">
        <f>HYPERLINK(CONCATENATE(TabelleURL!$B$1,"3499_Taxi/34990050-1.pdf"), "34990050-1")</f>
        <v>34990050-1</v>
      </c>
      <c r="AP623" s="2" t="str">
        <f>HYPERLINK(CONCATENATE(TabelleURL!$B$1,"367/3674700.pdf"), "3674700")</f>
        <v>3674700</v>
      </c>
      <c r="AT623" s="85"/>
    </row>
    <row r="624" spans="1:46">
      <c r="A624" s="1" t="s">
        <v>917</v>
      </c>
      <c r="B624" s="1" t="s">
        <v>925</v>
      </c>
      <c r="C624" s="1" t="s">
        <v>926</v>
      </c>
      <c r="D624" s="1" t="s">
        <v>337</v>
      </c>
      <c r="G624" s="2" t="str">
        <f>HYPERLINK(CONCATENATE(TabelleURL!$B$1,"342_ADIF/342VW01.pdf"), "342VW01/0/KA")</f>
        <v>342VW01/0/KA</v>
      </c>
      <c r="H624" s="2" t="s">
        <v>923</v>
      </c>
      <c r="I624" s="2" t="str">
        <f>HYPERLINK(CONCATENATE(TabelleURL!$B$1,"332_ADIF/332VW01ZI.pdf"), " 332VW01ZI")</f>
        <v xml:space="preserve"> 332VW01ZI</v>
      </c>
      <c r="M624" s="5" t="str">
        <f>HYPERLINK(CONCATENATE(TabelleURL!$B$1,"345_Signalbox/3450258.pdf"), "3450258")</f>
        <v>3450258</v>
      </c>
      <c r="N624" s="5" t="str">
        <f>HYPERLINK(CONCATENATE(TabelleURL!$B$1,"345_Signalbox/3450258-H.pdf"), "3450258-H")</f>
        <v>3450258-H</v>
      </c>
      <c r="P624" s="5" t="str">
        <f>HYPERLINK(CONCATENATE(TabelleURL!$B$1,"345_Signalbox/3450258-W.pdf"), "3450258-W")</f>
        <v>3450258-W</v>
      </c>
      <c r="R624" s="66" t="s">
        <v>11</v>
      </c>
      <c r="S624" s="67" t="str">
        <f>HYPERLINK(CONCATENATE(TabelleURL!$B$1,"344_URI2/3444755.pdf"), "B-3444755")</f>
        <v>B-3444755</v>
      </c>
      <c r="T624" s="63">
        <v>3470005</v>
      </c>
      <c r="U624" s="5" t="s">
        <v>51</v>
      </c>
      <c r="V624" s="4" t="str">
        <f>HYPERLINK(CONCATENATE(TabelleURL!$B$1,"344_URI2/3444755.pdf"), "B-3444755")</f>
        <v>B-3444755</v>
      </c>
      <c r="W624" s="5"/>
      <c r="X624" s="17"/>
      <c r="Y624" s="8"/>
      <c r="AB624" s="2" t="s">
        <v>55</v>
      </c>
      <c r="AC624" s="18"/>
      <c r="AF624" s="8" t="str">
        <f>HYPERLINK(CONCATENATE(TabelleURL!$B$1,"340_Helfer/3404700.pdf"), "B-3404700")</f>
        <v>B-3404700</v>
      </c>
      <c r="AG624" s="2" t="str">
        <f>HYPERLINK(CONCATENATE(TabelleURL!$B$1,"340_Helfer/3404701.pdf"), "3404701")</f>
        <v>3404701</v>
      </c>
      <c r="AH624" s="4" t="str">
        <f>HYPERLINK(CONCATENATE(TabelleURL!$B$1,"346_CAN2com/3475.pdf"), "3475857")</f>
        <v>3475857</v>
      </c>
      <c r="AI624" s="5" t="str">
        <f>HYPERLINK(CONCATENATE(TabelleURL!$B$1,"3499_Taxi/34990050.pdf"), "34990050")</f>
        <v>34990050</v>
      </c>
      <c r="AJ624" s="5" t="str">
        <f>HYPERLINK(CONCATENATE(TabelleURL!$B$1,"3499_Taxi/34990050-1.pdf"), "34990050-1")</f>
        <v>34990050-1</v>
      </c>
      <c r="AL624" s="3" t="s">
        <v>7</v>
      </c>
      <c r="AN624" s="2" t="str">
        <f>HYPERLINK(CONCATENATE(TabelleURL!$B$1,"350_RICI_PDC_OBI/3500031 OBI Alfa BMW Fiat Merc Opel VW D_E.pdf"), "3500031")</f>
        <v>3500031</v>
      </c>
      <c r="AP624" s="2" t="str">
        <f>HYPERLINK(CONCATENATE(TabelleURL!$B$1,"367/3674700.pdf"), "3674700")</f>
        <v>3674700</v>
      </c>
      <c r="AT624" s="85"/>
    </row>
    <row r="625" spans="1:46">
      <c r="A625" s="1" t="s">
        <v>917</v>
      </c>
      <c r="B625" s="1" t="s">
        <v>925</v>
      </c>
      <c r="C625" s="1" t="s">
        <v>926</v>
      </c>
      <c r="D625" s="1" t="s">
        <v>27</v>
      </c>
      <c r="E625" s="76" t="s">
        <v>924</v>
      </c>
      <c r="G625" s="2" t="str">
        <f>HYPERLINK(CONCATENATE(TabelleURL!$B$1,"342_ADIF/342VW01.pdf"), "342VW01/0/KA")</f>
        <v>342VW01/0/KA</v>
      </c>
      <c r="H625" s="2" t="s">
        <v>923</v>
      </c>
      <c r="I625" s="2" t="str">
        <f>HYPERLINK(CONCATENATE(TabelleURL!$B$1,"332_ADIF/332VW01ZI.pdf"), " 332VW01ZI")</f>
        <v xml:space="preserve"> 332VW01ZI</v>
      </c>
      <c r="M625" s="5" t="str">
        <f>HYPERLINK(CONCATENATE(TabelleURL!$B$1,"345_Signalbox/3450258.pdf"), "3450258")</f>
        <v>3450258</v>
      </c>
      <c r="N625" s="5" t="str">
        <f>HYPERLINK(CONCATENATE(TabelleURL!$B$1,"345_Signalbox/3450258-H.pdf"), "3450258-H")</f>
        <v>3450258-H</v>
      </c>
      <c r="P625" s="5" t="str">
        <f>HYPERLINK(CONCATENATE(TabelleURL!$B$1,"345_Signalbox/3450258-W.pdf"), "3450258-W")</f>
        <v>3450258-W</v>
      </c>
      <c r="R625" s="66" t="s">
        <v>221</v>
      </c>
      <c r="S625" s="67" t="str">
        <f>HYPERLINK(CONCATENATE(TabelleURL!$B$1,"344_URI2/3444756.pdf"), "B-3444756")</f>
        <v>B-3444756</v>
      </c>
      <c r="T625" s="63">
        <v>3474756</v>
      </c>
      <c r="U625" s="5" t="s">
        <v>51</v>
      </c>
      <c r="V625" s="4" t="str">
        <f>HYPERLINK(CONCATENATE(TabelleURL!$B$1,"344_URI2/3444756.pdf"), "B-3444756")</f>
        <v>B-3444756</v>
      </c>
      <c r="W625" s="5"/>
      <c r="X625" s="17"/>
      <c r="Y625" s="8"/>
      <c r="AB625" s="2" t="s">
        <v>55</v>
      </c>
      <c r="AC625" s="18"/>
      <c r="AE625" s="2" t="str">
        <f>HYPERLINK(CONCATENATE(TabelleURL!$B$1,"367/3674755-RVC.pdf"), "3674755-RVC")</f>
        <v>3674755-RVC</v>
      </c>
      <c r="AF625" s="8" t="str">
        <f>HYPERLINK(CONCATENATE(TabelleURL!$B$1,"340_Helfer/3404700.pdf"), "B-3404700")</f>
        <v>B-3404700</v>
      </c>
      <c r="AG625" s="2" t="str">
        <f>HYPERLINK(CONCATENATE(TabelleURL!$B$1,"340_Helfer/3404701.pdf"), "3404701")</f>
        <v>3404701</v>
      </c>
      <c r="AH625" s="4" t="str">
        <f>HYPERLINK(CONCATENATE(TabelleURL!$B$1,"346_CAN2com/3475.pdf"), "3475857")</f>
        <v>3475857</v>
      </c>
      <c r="AI625" s="5" t="str">
        <f>HYPERLINK(CONCATENATE(TabelleURL!$B$1,"3499_Taxi/34990050.pdf"), "34990050")</f>
        <v>34990050</v>
      </c>
      <c r="AJ625" s="5" t="str">
        <f>HYPERLINK(CONCATENATE(TabelleURL!$B$1,"3499_Taxi/34990050-1.pdf"), "34990050-1")</f>
        <v>34990050-1</v>
      </c>
      <c r="AL625" s="3" t="s">
        <v>7</v>
      </c>
      <c r="AN625" s="2" t="str">
        <f>HYPERLINK(CONCATENATE(TabelleURL!$B$1,"350_RICI_PDC_OBI/3500031 OBI Alfa BMW Fiat Merc Opel VW D_E.pdf"), "3500031")</f>
        <v>3500031</v>
      </c>
      <c r="AP625" s="2" t="str">
        <f>HYPERLINK(CONCATENATE(TabelleURL!$B$1,"367/3674700.pdf"), "3674700")</f>
        <v>3674700</v>
      </c>
      <c r="AT625" s="85"/>
    </row>
    <row r="626" spans="1:46">
      <c r="A626" s="1" t="s">
        <v>917</v>
      </c>
      <c r="B626" s="1" t="s">
        <v>927</v>
      </c>
      <c r="C626" s="1" t="s">
        <v>926</v>
      </c>
      <c r="D626" s="1" t="s">
        <v>114</v>
      </c>
      <c r="G626" s="2" t="str">
        <f>HYPERLINK(CONCATENATE(TabelleURL!$B$1,"342_ADIF/342VW01.pdf"), "342VW01/0/KA")</f>
        <v>342VW01/0/KA</v>
      </c>
      <c r="H626" s="2" t="s">
        <v>923</v>
      </c>
      <c r="I626" s="2" t="str">
        <f>HYPERLINK(CONCATENATE(TabelleURL!$B$1,"332_ADIF/332VW01ZI.pdf"), " 332VW01ZI")</f>
        <v xml:space="preserve"> 332VW01ZI</v>
      </c>
      <c r="M626" s="5" t="str">
        <f>HYPERLINK(CONCATENATE(TabelleURL!$B$1,"345_Signalbox/3450258.pdf"), "3450258")</f>
        <v>3450258</v>
      </c>
      <c r="N626" s="5" t="str">
        <f>HYPERLINK(CONCATENATE(TabelleURL!$B$1,"345_Signalbox/3450258-H.pdf"), "3450258-H")</f>
        <v>3450258-H</v>
      </c>
      <c r="P626" s="5" t="str">
        <f>HYPERLINK(CONCATENATE(TabelleURL!$B$1,"345_Signalbox/3450258-W.pdf"), "3450258-W")</f>
        <v>3450258-W</v>
      </c>
      <c r="R626" s="66" t="s">
        <v>11</v>
      </c>
      <c r="S626" s="67" t="str">
        <f>HYPERLINK(CONCATENATE(TabelleURL!$B$1,"344_URI2/3444755.pdf"), "B-3444755")</f>
        <v>B-3444755</v>
      </c>
      <c r="T626" s="63">
        <v>3470005</v>
      </c>
      <c r="U626" s="5" t="s">
        <v>51</v>
      </c>
      <c r="V626" s="4" t="str">
        <f>HYPERLINK(CONCATENATE(TabelleURL!$B$1,"344_URI2/3444755.pdf"), "B-3444755")</f>
        <v>B-3444755</v>
      </c>
      <c r="W626" s="5"/>
      <c r="X626" s="17"/>
      <c r="Y626" s="8"/>
      <c r="AB626" s="2" t="s">
        <v>55</v>
      </c>
      <c r="AC626" s="18"/>
      <c r="AF626" s="8" t="str">
        <f>HYPERLINK(CONCATENATE(TabelleURL!$B$1,"340_Helfer/3404700.pdf"), "B-3404700")</f>
        <v>B-3404700</v>
      </c>
      <c r="AG626" s="2" t="str">
        <f>HYPERLINK(CONCATENATE(TabelleURL!$B$1,"340_Helfer/3404701.pdf"), "3404701")</f>
        <v>3404701</v>
      </c>
      <c r="AH626" s="4" t="str">
        <f>HYPERLINK(CONCATENATE(TabelleURL!$B$1,"346_CAN2com/3475.pdf"), "3475857")</f>
        <v>3475857</v>
      </c>
      <c r="AI626" s="5" t="str">
        <f>HYPERLINK(CONCATENATE(TabelleURL!$B$1,"3499_Taxi/34990050.pdf"), "34990050")</f>
        <v>34990050</v>
      </c>
      <c r="AJ626" s="5" t="str">
        <f>HYPERLINK(CONCATENATE(TabelleURL!$B$1,"3499_Taxi/34990050-1.pdf"), "34990050-1")</f>
        <v>34990050-1</v>
      </c>
      <c r="AL626" s="3" t="s">
        <v>7</v>
      </c>
      <c r="AN626" s="2" t="str">
        <f>HYPERLINK(CONCATENATE(TabelleURL!$B$1,"350_RICI_PDC_OBI/3500031 OBI Alfa BMW Fiat Merc Opel VW D_E.pdf"), "3500031")</f>
        <v>3500031</v>
      </c>
      <c r="AP626" s="2" t="str">
        <f>HYPERLINK(CONCATENATE(TabelleURL!$B$1,"367/3674700.pdf"), "3674700")</f>
        <v>3674700</v>
      </c>
      <c r="AT626" s="85"/>
    </row>
    <row r="627" spans="1:46">
      <c r="A627" s="1" t="s">
        <v>917</v>
      </c>
      <c r="B627" s="1" t="s">
        <v>927</v>
      </c>
      <c r="C627" s="1" t="s">
        <v>926</v>
      </c>
      <c r="D627" s="1" t="s">
        <v>27</v>
      </c>
      <c r="E627" s="76" t="s">
        <v>924</v>
      </c>
      <c r="G627" s="2" t="str">
        <f>HYPERLINK(CONCATENATE(TabelleURL!$B$1,"342_ADIF/342VW01.pdf"), "342VW01/0/KA")</f>
        <v>342VW01/0/KA</v>
      </c>
      <c r="H627" s="2" t="s">
        <v>923</v>
      </c>
      <c r="I627" s="2" t="str">
        <f>HYPERLINK(CONCATENATE(TabelleURL!$B$1,"332_ADIF/332VW01ZI.pdf"), " 332VW01ZI")</f>
        <v xml:space="preserve"> 332VW01ZI</v>
      </c>
      <c r="M627" s="5" t="str">
        <f>HYPERLINK(CONCATENATE(TabelleURL!$B$1,"345_Signalbox/3450258.pdf"), "3450258")</f>
        <v>3450258</v>
      </c>
      <c r="N627" s="5" t="str">
        <f>HYPERLINK(CONCATENATE(TabelleURL!$B$1,"345_Signalbox/3450258-H.pdf"), "3450258-H")</f>
        <v>3450258-H</v>
      </c>
      <c r="P627" s="5" t="str">
        <f>HYPERLINK(CONCATENATE(TabelleURL!$B$1,"345_Signalbox/3450258-W.pdf"), "3450258-W")</f>
        <v>3450258-W</v>
      </c>
      <c r="R627" s="66" t="s">
        <v>221</v>
      </c>
      <c r="S627" s="67" t="str">
        <f>HYPERLINK(CONCATENATE(TabelleURL!$B$1,"344_URI2/3444756.pdf"), "B-3444756")</f>
        <v>B-3444756</v>
      </c>
      <c r="T627" s="63">
        <v>3474756</v>
      </c>
      <c r="U627" s="5" t="s">
        <v>51</v>
      </c>
      <c r="V627" s="4" t="str">
        <f>HYPERLINK(CONCATENATE(TabelleURL!$B$1,"344_URI2/3444756.pdf"), "B-3444756")</f>
        <v>B-3444756</v>
      </c>
      <c r="W627" s="5"/>
      <c r="X627" s="17"/>
      <c r="Y627" s="8"/>
      <c r="AB627" s="2" t="s">
        <v>55</v>
      </c>
      <c r="AC627" s="18"/>
      <c r="AE627" s="2" t="str">
        <f>HYPERLINK(CONCATENATE(TabelleURL!$B$1,"367/3674755-RVC.pdf"), "3674755-RVC")</f>
        <v>3674755-RVC</v>
      </c>
      <c r="AF627" s="8" t="str">
        <f>HYPERLINK(CONCATENATE(TabelleURL!$B$1,"340_Helfer/3404700.pdf"), "B-3404700")</f>
        <v>B-3404700</v>
      </c>
      <c r="AG627" s="2" t="str">
        <f>HYPERLINK(CONCATENATE(TabelleURL!$B$1,"340_Helfer/3404701.pdf"), "3404701")</f>
        <v>3404701</v>
      </c>
      <c r="AH627" s="4" t="str">
        <f>HYPERLINK(CONCATENATE(TabelleURL!$B$1,"346_CAN2com/3475.pdf"), "3475857")</f>
        <v>3475857</v>
      </c>
      <c r="AI627" s="5" t="str">
        <f>HYPERLINK(CONCATENATE(TabelleURL!$B$1,"3499_Taxi/34990050.pdf"), "34990050")</f>
        <v>34990050</v>
      </c>
      <c r="AJ627" s="5" t="str">
        <f>HYPERLINK(CONCATENATE(TabelleURL!$B$1,"3499_Taxi/34990050-1.pdf"), "34990050-1")</f>
        <v>34990050-1</v>
      </c>
      <c r="AL627" s="3" t="s">
        <v>7</v>
      </c>
      <c r="AN627" s="2" t="str">
        <f>HYPERLINK(CONCATENATE(TabelleURL!$B$1,"350_RICI_PDC_OBI/3500031 OBI Alfa BMW Fiat Merc Opel VW D_E.pdf"), "3500031")</f>
        <v>3500031</v>
      </c>
      <c r="AP627" s="2" t="str">
        <f>HYPERLINK(CONCATENATE(TabelleURL!$B$1,"367/3674700.pdf"), "3674700")</f>
        <v>3674700</v>
      </c>
      <c r="AT627" s="85"/>
    </row>
    <row r="628" spans="1:46">
      <c r="A628" s="1" t="s">
        <v>917</v>
      </c>
      <c r="B628" s="1" t="s">
        <v>928</v>
      </c>
      <c r="D628" s="1" t="s">
        <v>25</v>
      </c>
      <c r="G628" s="2" t="str">
        <f>HYPERLINK(CONCATENATE(TabelleURL!$B$1,"332_ADIF/332VW05.pdf"), "332VW05KA")</f>
        <v>332VW05KA</v>
      </c>
      <c r="I628" s="2" t="str">
        <f>HYPERLINK(CONCATENATE(TabelleURL!$B$1,"342_ADIF/342VW05ZI.pdf"), "342VW05/0/ZI")</f>
        <v>342VW05/0/ZI</v>
      </c>
      <c r="M628" s="5" t="str">
        <f>HYPERLINK(CONCATENATE(TabelleURL!$B$1,"345_Signalbox/3450276.pdf"), "3450276")</f>
        <v>3450276</v>
      </c>
      <c r="P628" s="5" t="str">
        <f>HYPERLINK(CONCATENATE(TabelleURL!$B$1,"345_Signalbox/3450276-W.pdf"), "3450276-W")</f>
        <v>3450276-W</v>
      </c>
      <c r="T628" s="63"/>
      <c r="U628" s="5"/>
      <c r="W628" s="5"/>
      <c r="X628" s="17"/>
      <c r="Y628" s="8"/>
      <c r="AC628" s="18"/>
      <c r="AF628" s="8" t="str">
        <f>HYPERLINK(CONCATENATE(TabelleURL!$B$1,"340_Helfer/3404700.pdf"), "B-3404700")</f>
        <v>B-3404700</v>
      </c>
      <c r="AG628" s="2" t="str">
        <f>HYPERLINK(CONCATENATE(TabelleURL!$B$1,"340_Helfer/3404701.pdf"), "3404701")</f>
        <v>3404701</v>
      </c>
      <c r="AH628" s="4" t="str">
        <f>HYPERLINK(CONCATENATE(TabelleURL!$B$1,"346_CAN2com/3475857.pdf"), "3475857")</f>
        <v>3475857</v>
      </c>
      <c r="AP628" s="2" t="str">
        <f>HYPERLINK(CONCATENATE(TabelleURL!$B$1,"367/3674700.pdf"), "3674700")</f>
        <v>3674700</v>
      </c>
      <c r="AR628" s="3" t="s">
        <v>929</v>
      </c>
      <c r="AS628" s="8"/>
      <c r="AT628" s="2" t="str">
        <f>HYPERLINK(CONCATENATE(TabelleURL!$B$1,"340_Helfer/3406857.pdf"), "B-3406857")</f>
        <v>B-3406857</v>
      </c>
    </row>
    <row r="629" spans="1:46">
      <c r="A629" s="1" t="s">
        <v>917</v>
      </c>
      <c r="B629" s="1" t="s">
        <v>930</v>
      </c>
      <c r="C629" s="1" t="s">
        <v>931</v>
      </c>
      <c r="D629" s="1" t="s">
        <v>567</v>
      </c>
      <c r="G629" s="2" t="str">
        <f>HYPERLINK(CONCATENATE(TabelleURL!$B$1,"342_ADIF/342VW01.pdf"), "342VW01/0/KA")</f>
        <v>342VW01/0/KA</v>
      </c>
      <c r="H629" s="2" t="s">
        <v>923</v>
      </c>
      <c r="I629" s="2" t="str">
        <f>HYPERLINK(CONCATENATE(TabelleURL!$B$1,"332_ADIF/332VW01ZI.pdf"), " 332VW01ZI")</f>
        <v xml:space="preserve"> 332VW01ZI</v>
      </c>
      <c r="R629" s="66" t="s">
        <v>11</v>
      </c>
      <c r="S629" s="67" t="str">
        <f>HYPERLINK(CONCATENATE(TabelleURL!$B$1,"344_URI2/3444755.pdf"), "B-3444755")</f>
        <v>B-3444755</v>
      </c>
      <c r="T629" s="63">
        <v>3470005</v>
      </c>
      <c r="U629" s="5" t="s">
        <v>51</v>
      </c>
      <c r="V629" s="4" t="str">
        <f>HYPERLINK(CONCATENATE(TabelleURL!$B$1,"344_URI2/3444755.pdf"), "B-3444755")</f>
        <v>B-3444755</v>
      </c>
      <c r="W629" s="5"/>
      <c r="X629" s="17"/>
      <c r="Y629" s="8"/>
      <c r="AC629" s="18"/>
      <c r="AH629" s="4" t="str">
        <f>HYPERLINK(CONCATENATE(TabelleURL!$B$1,"346_CAN2com/3475.pdf"), "3475857")</f>
        <v>3475857</v>
      </c>
      <c r="AN629" s="2" t="str">
        <f>HYPERLINK(CONCATENATE(TabelleURL!$B$1,"350_RICI_PDC_OBI/3500031 OBI Alfa BMW Fiat Merc Opel VW D_E.pdf"), "3500031")</f>
        <v>3500031</v>
      </c>
      <c r="AP629" s="2" t="str">
        <f>HYPERLINK(CONCATENATE(TabelleURL!$B$1,"367/3674700.pdf"), "3674700")</f>
        <v>3674700</v>
      </c>
    </row>
    <row r="630" spans="1:46">
      <c r="A630" s="1" t="s">
        <v>917</v>
      </c>
      <c r="B630" s="1" t="s">
        <v>932</v>
      </c>
      <c r="C630" s="1" t="s">
        <v>933</v>
      </c>
      <c r="D630" s="1" t="s">
        <v>349</v>
      </c>
      <c r="E630" s="76" t="s">
        <v>56</v>
      </c>
      <c r="G630" s="2" t="str">
        <f>HYPERLINK(CONCATENATE(TabelleURL!$B$1,"342_ADIF/342AD01.pdf"), "342AD01/0")</f>
        <v>342AD01/0</v>
      </c>
      <c r="I630" s="2" t="str">
        <f>HYPERLINK(CONCATENATE(TabelleURL!$B$1,"342_ADIF/342AD01ZI.pdf"), "342AD01/0/ZI")</f>
        <v>342AD01/0/ZI</v>
      </c>
      <c r="M630" s="5" t="str">
        <f>HYPERLINK(CONCATENATE(TabelleURL!$B$1,"345_Signalbox/3450261.pdf"), "3450261")</f>
        <v>3450261</v>
      </c>
      <c r="R630" s="66" t="s">
        <v>11</v>
      </c>
      <c r="S630" s="67" t="str">
        <f>HYPERLINK(CONCATENATE(TabelleURL!$B$1,"344_URI2/3444703_3444751.pdf"), "B-3444703")</f>
        <v>B-3444703</v>
      </c>
      <c r="T630" s="63">
        <v>3470005</v>
      </c>
      <c r="U630" s="5" t="s">
        <v>51</v>
      </c>
      <c r="V630" s="4" t="s">
        <v>41</v>
      </c>
      <c r="W630" s="5"/>
      <c r="X630" s="17"/>
      <c r="Y630" s="8"/>
      <c r="Z630" s="2" t="s">
        <v>58</v>
      </c>
      <c r="AC630" s="18"/>
      <c r="AF630" s="8" t="str">
        <f>HYPERLINK(CONCATENATE(TabelleURL!$B$1,"340_Helfer/3404700.pdf"), "B-3404700")</f>
        <v>B-3404700</v>
      </c>
      <c r="AG630" s="2" t="str">
        <f>HYPERLINK(CONCATENATE(TabelleURL!$B$1,"340_Helfer/3404701.pdf"), "3404701")</f>
        <v>3404701</v>
      </c>
      <c r="AH630" s="4" t="str">
        <f>HYPERLINK(CONCATENATE(TabelleURL!$B$1,"346_CAN2com/3475.pdf"), "3475857")</f>
        <v>3475857</v>
      </c>
      <c r="AP630" s="2" t="str">
        <f>HYPERLINK(CONCATENATE(TabelleURL!$B$1,"367/3674700.pdf"), "3674700")</f>
        <v>3674700</v>
      </c>
    </row>
    <row r="631" spans="1:46">
      <c r="A631" s="1" t="s">
        <v>917</v>
      </c>
      <c r="B631" s="1" t="s">
        <v>932</v>
      </c>
      <c r="C631" s="1" t="s">
        <v>933</v>
      </c>
      <c r="D631" s="1" t="s">
        <v>349</v>
      </c>
      <c r="E631" s="76" t="s">
        <v>157</v>
      </c>
      <c r="G631" s="2" t="str">
        <f>HYPERLINK(CONCATENATE(TabelleURL!$B$1,"342_ADIF/342VW01.pdf"), "342VW01/0/KA")</f>
        <v>342VW01/0/KA</v>
      </c>
      <c r="H631" s="2" t="s">
        <v>923</v>
      </c>
      <c r="I631" s="2" t="str">
        <f>HYPERLINK(CONCATENATE(TabelleURL!$B$1,"332_ADIF/332VW01ZI.pdf"), " 332VW01ZI")</f>
        <v xml:space="preserve"> 332VW01ZI</v>
      </c>
      <c r="M631" s="5" t="str">
        <f>HYPERLINK(CONCATENATE(TabelleURL!$B$1,"345_Signalbox/3450261.pdf"), "3450261")</f>
        <v>3450261</v>
      </c>
      <c r="R631" s="66" t="s">
        <v>11</v>
      </c>
      <c r="S631" s="67" t="str">
        <f>HYPERLINK(CONCATENATE(TabelleURL!$B$1,"344_URI2/3444703_3444751.pdf"), "B-3444751")</f>
        <v>B-3444751</v>
      </c>
      <c r="T631" s="63">
        <v>3470005</v>
      </c>
      <c r="U631" s="5" t="s">
        <v>51</v>
      </c>
      <c r="V631" s="4" t="s">
        <v>52</v>
      </c>
      <c r="W631" s="5"/>
      <c r="X631" s="17"/>
      <c r="Y631" s="8"/>
      <c r="Z631" s="2" t="s">
        <v>65</v>
      </c>
      <c r="AB631" s="2" t="s">
        <v>55</v>
      </c>
      <c r="AC631" s="18"/>
      <c r="AF631" s="8" t="str">
        <f>HYPERLINK(CONCATENATE(TabelleURL!$B$1,"340_Helfer/3404700.pdf"), "B-3404700")</f>
        <v>B-3404700</v>
      </c>
      <c r="AG631" s="2" t="str">
        <f>HYPERLINK(CONCATENATE(TabelleURL!$B$1,"340_Helfer/3404701.pdf"), "3404701")</f>
        <v>3404701</v>
      </c>
      <c r="AH631" s="4" t="str">
        <f>HYPERLINK(CONCATENATE(TabelleURL!$B$1,"346_CAN2com/3475.pdf"), "3475857")</f>
        <v>3475857</v>
      </c>
      <c r="AI631" s="5" t="str">
        <f>HYPERLINK(CONCATENATE(TabelleURL!$B$1,"3499_Taxi/34990062.pdf"), "34990062")</f>
        <v>34990062</v>
      </c>
      <c r="AP631" s="2" t="str">
        <f>HYPERLINK(CONCATENATE(TabelleURL!$B$1,"367/3674700.pdf"), "3674700")</f>
        <v>3674700</v>
      </c>
    </row>
    <row r="632" spans="1:46">
      <c r="A632" s="1" t="s">
        <v>917</v>
      </c>
      <c r="B632" s="1" t="s">
        <v>932</v>
      </c>
      <c r="C632" s="1" t="s">
        <v>934</v>
      </c>
      <c r="D632" s="1" t="s">
        <v>86</v>
      </c>
      <c r="G632" s="2" t="str">
        <f>HYPERLINK(CONCATENATE(TabelleURL!$B$1,"342_ADIF/342AD01.pdf"), "342AD01/0")</f>
        <v>342AD01/0</v>
      </c>
      <c r="I632" s="2" t="str">
        <f>HYPERLINK(CONCATENATE(TabelleURL!$B$1,"342_ADIF/342AD01ZI.pdf"), "342AD01/0/ZI")</f>
        <v>342AD01/0/ZI</v>
      </c>
      <c r="M632" s="5" t="str">
        <f>HYPERLINK(CONCATENATE(TabelleURL!$B$1,"345_Signalbox/3450251.pdf"), "3450251")</f>
        <v>3450251</v>
      </c>
      <c r="T632" s="63"/>
      <c r="U632" s="5"/>
      <c r="W632" s="5"/>
      <c r="X632" s="17"/>
      <c r="Y632" s="8"/>
      <c r="AC632" s="18"/>
      <c r="AF632" s="8" t="str">
        <f>HYPERLINK(CONCATENATE(TabelleURL!$B$1,"340_Helfer/3404700.pdf"), "B-3404700")</f>
        <v>B-3404700</v>
      </c>
      <c r="AG632" s="2" t="str">
        <f>HYPERLINK(CONCATENATE(TabelleURL!$B$1,"340_Helfer/3404701.pdf"), "3404701")</f>
        <v>3404701</v>
      </c>
      <c r="AH632" s="4" t="str">
        <f>HYPERLINK(CONCATENATE(TabelleURL!$B$1,"346_CAN2com/3475.pdf"), "3475857")</f>
        <v>3475857</v>
      </c>
      <c r="AP632" s="2" t="str">
        <f>HYPERLINK(CONCATENATE(TabelleURL!$B$1,"367/3674700.pdf"), "3674700")</f>
        <v>3674700</v>
      </c>
      <c r="AT632" s="2"/>
    </row>
    <row r="633" spans="1:46">
      <c r="A633" s="1" t="s">
        <v>917</v>
      </c>
      <c r="B633" s="1" t="s">
        <v>935</v>
      </c>
      <c r="C633" s="1" t="s">
        <v>931</v>
      </c>
      <c r="D633" s="1" t="s">
        <v>567</v>
      </c>
      <c r="E633" s="76" t="s">
        <v>56</v>
      </c>
      <c r="G633" s="2" t="str">
        <f>HYPERLINK(CONCATENATE(TabelleURL!$B$1,"342_ADIF/342VW01.pdf"), "342VW01/0/KA")</f>
        <v>342VW01/0/KA</v>
      </c>
      <c r="H633" s="2" t="s">
        <v>923</v>
      </c>
      <c r="I633" s="2" t="str">
        <f>HYPERLINK(CONCATENATE(TabelleURL!$B$1,"332_ADIF/332VW01ZI.pdf"), " 332VW01ZI")</f>
        <v xml:space="preserve"> 332VW01ZI</v>
      </c>
      <c r="R633" s="66" t="s">
        <v>45</v>
      </c>
      <c r="S633" s="67" t="str">
        <f>HYPERLINK(CONCATENATE(TabelleURL!$B$1,"341_RC_Interface/3414704.pdf"), "B-3414704")</f>
        <v>B-3414704</v>
      </c>
      <c r="T633" s="63"/>
      <c r="U633" s="5"/>
      <c r="W633" s="5" t="s">
        <v>46</v>
      </c>
      <c r="X633" s="17"/>
      <c r="Y633" s="8"/>
      <c r="AC633" s="18"/>
      <c r="AF633" s="8" t="str">
        <f>HYPERLINK(CONCATENATE(TabelleURL!$B$1,"340_Helfer/3404700.pdf"), "B-3404700")</f>
        <v>B-3404700</v>
      </c>
      <c r="AG633" s="2" t="str">
        <f>HYPERLINK(CONCATENATE(TabelleURL!$B$1,"340_Helfer/3404701.pdf"), "3404701")</f>
        <v>3404701</v>
      </c>
      <c r="AH633" s="4" t="str">
        <f>HYPERLINK(CONCATENATE(TabelleURL!$B$1,"346_CAN2com/3475.pdf"), "3475857")</f>
        <v>3475857</v>
      </c>
      <c r="AL633" s="3" t="s">
        <v>7</v>
      </c>
      <c r="AN633" s="2" t="str">
        <f>HYPERLINK(CONCATENATE(TabelleURL!$B$1,"350_RICI_PDC_OBI/3500031 OBI Alfa BMW Fiat Merc Opel VW D_E.pdf"), "3500031")</f>
        <v>3500031</v>
      </c>
      <c r="AP633" s="2" t="str">
        <f>HYPERLINK(CONCATENATE(TabelleURL!$B$1,"367/3674700.pdf"), "3674700")</f>
        <v>3674700</v>
      </c>
    </row>
    <row r="634" spans="1:46">
      <c r="A634" s="1" t="s">
        <v>917</v>
      </c>
      <c r="B634" s="1" t="s">
        <v>935</v>
      </c>
      <c r="C634" s="1" t="s">
        <v>936</v>
      </c>
      <c r="D634" s="1" t="s">
        <v>29</v>
      </c>
      <c r="G634" s="2" t="str">
        <f>HYPERLINK(CONCATENATE(TabelleURL!$B$1,"342_ADIF/342VW01.pdf"), "342VW01/0/KA")</f>
        <v>342VW01/0/KA</v>
      </c>
      <c r="H634" s="2" t="s">
        <v>923</v>
      </c>
      <c r="I634" s="2" t="str">
        <f>HYPERLINK(CONCATENATE(TabelleURL!$B$1,"332_ADIF/332VW01ZI.pdf"), " 332VW01ZI")</f>
        <v xml:space="preserve"> 332VW01ZI</v>
      </c>
      <c r="R634" s="66" t="s">
        <v>221</v>
      </c>
      <c r="S634" s="67" t="str">
        <f>HYPERLINK(CONCATENATE(TabelleURL!$B$1,"344_URI2/3444756.pdf"), "B-3444756")</f>
        <v>B-3444756</v>
      </c>
      <c r="T634" s="63">
        <v>3474756</v>
      </c>
      <c r="U634" s="5" t="s">
        <v>51</v>
      </c>
      <c r="V634" s="4" t="str">
        <f>HYPERLINK(CONCATENATE(TabelleURL!$B$1,"344_URI2/3444756.pdf"), "B-3444756")</f>
        <v>B-3444756</v>
      </c>
      <c r="W634" s="5"/>
      <c r="X634" s="17"/>
      <c r="Y634" s="8"/>
      <c r="AB634" s="2" t="s">
        <v>901</v>
      </c>
      <c r="AC634" s="18"/>
      <c r="AF634" s="8" t="str">
        <f>HYPERLINK(CONCATENATE(TabelleURL!$B$1,"340_Helfer/3404700.pdf"), "B-3404700")</f>
        <v>B-3404700</v>
      </c>
      <c r="AG634" s="2" t="str">
        <f>HYPERLINK(CONCATENATE(TabelleURL!$B$1,"340_Helfer/3404701.pdf"), "3404701")</f>
        <v>3404701</v>
      </c>
      <c r="AH634" s="4" t="str">
        <f>HYPERLINK(CONCATENATE(TabelleURL!$B$1,"346_CAN2com/3475.pdf"), "3475857")</f>
        <v>3475857</v>
      </c>
      <c r="AL634" s="3" t="s">
        <v>7</v>
      </c>
      <c r="AN634" s="2" t="str">
        <f>HYPERLINK(CONCATENATE(TabelleURL!$B$1,"350_RICI_PDC_OBI/3500031 OBI Alfa BMW Fiat Merc Opel VW D_E.pdf"), "3500031")</f>
        <v>3500031</v>
      </c>
      <c r="AP634" s="2" t="str">
        <f>HYPERLINK(CONCATENATE(TabelleURL!$B$1,"367/3674700.pdf"), "3674700")</f>
        <v>3674700</v>
      </c>
    </row>
    <row r="635" spans="1:46">
      <c r="A635" s="1" t="s">
        <v>917</v>
      </c>
      <c r="B635" s="1" t="s">
        <v>935</v>
      </c>
      <c r="C635" s="1" t="s">
        <v>936</v>
      </c>
      <c r="D635" s="1" t="s">
        <v>263</v>
      </c>
      <c r="E635" s="76" t="s">
        <v>924</v>
      </c>
      <c r="G635" s="2" t="str">
        <f>HYPERLINK(CONCATENATE(TabelleURL!$B$1,"342_ADIF/342VW01.pdf"), "342VW01/0/KA")</f>
        <v>342VW01/0/KA</v>
      </c>
      <c r="H635" s="2" t="s">
        <v>923</v>
      </c>
      <c r="I635" s="2" t="str">
        <f>HYPERLINK(CONCATENATE(TabelleURL!$B$1,"332_ADIF/332VW01ZI.pdf"), " 332VW01ZI")</f>
        <v xml:space="preserve"> 332VW01ZI</v>
      </c>
      <c r="M635" s="5" t="str">
        <f>HYPERLINK(CONCATENATE(TabelleURL!$B$1,"345_Signalbox/3450258.pdf"), "3450258")</f>
        <v>3450258</v>
      </c>
      <c r="N635" s="5" t="str">
        <f>HYPERLINK(CONCATENATE(TabelleURL!$B$1,"345_Signalbox/3450258-H.pdf"), "3450258-H")</f>
        <v>3450258-H</v>
      </c>
      <c r="P635" s="5" t="str">
        <f>HYPERLINK(CONCATENATE(TabelleURL!$B$1,"345_Signalbox/3450258-W.pdf"), "3450258-W")</f>
        <v>3450258-W</v>
      </c>
      <c r="R635" s="66" t="s">
        <v>221</v>
      </c>
      <c r="S635" s="67" t="str">
        <f>HYPERLINK(CONCATENATE(TabelleURL!$B$1,"344_URI2/3444756.pdf"), "B-3444756")</f>
        <v>B-3444756</v>
      </c>
      <c r="T635" s="63">
        <v>3474756</v>
      </c>
      <c r="U635" s="5" t="s">
        <v>51</v>
      </c>
      <c r="V635" s="4" t="str">
        <f>HYPERLINK(CONCATENATE(TabelleURL!$B$1,"344_URI2/3444756.pdf"), "B-3444756")</f>
        <v>B-3444756</v>
      </c>
      <c r="W635" s="5"/>
      <c r="X635" s="17"/>
      <c r="Y635" s="8"/>
      <c r="AB635" s="2" t="s">
        <v>55</v>
      </c>
      <c r="AC635" s="18"/>
      <c r="AE635" s="2" t="str">
        <f>HYPERLINK(CONCATENATE(TabelleURL!$B$1,"367/3674755-RVC.pdf"), "3674755-RVC")</f>
        <v>3674755-RVC</v>
      </c>
      <c r="AF635" s="8" t="str">
        <f>HYPERLINK(CONCATENATE(TabelleURL!$B$1,"340_Helfer/3404700.pdf"), "B-3404700")</f>
        <v>B-3404700</v>
      </c>
      <c r="AG635" s="2" t="str">
        <f>HYPERLINK(CONCATENATE(TabelleURL!$B$1,"340_Helfer/3404701.pdf"), "3404701")</f>
        <v>3404701</v>
      </c>
      <c r="AH635" s="4" t="str">
        <f>HYPERLINK(CONCATENATE(TabelleURL!$B$1,"346_CAN2com/3475.pdf"), "3475857")</f>
        <v>3475857</v>
      </c>
      <c r="AL635" s="3" t="s">
        <v>7</v>
      </c>
      <c r="AN635" s="2" t="str">
        <f>HYPERLINK(CONCATENATE(TabelleURL!$B$1,"350_RICI_PDC_OBI/3500031 OBI Alfa BMW Fiat Merc Opel VW D_E.pdf"), "3500031")</f>
        <v>3500031</v>
      </c>
      <c r="AP635" s="2" t="str">
        <f>HYPERLINK(CONCATENATE(TabelleURL!$B$1,"367/3674700.pdf"), "3674700")</f>
        <v>3674700</v>
      </c>
    </row>
    <row r="636" spans="1:46">
      <c r="A636" s="1" t="s">
        <v>917</v>
      </c>
      <c r="B636" s="1" t="s">
        <v>935</v>
      </c>
      <c r="C636" s="1" t="s">
        <v>937</v>
      </c>
      <c r="D636" s="1" t="s">
        <v>73</v>
      </c>
      <c r="G636" s="2" t="str">
        <f>HYPERLINK(CONCATENATE(TabelleURL!$B$1,"332_ADIF/332VW05.pdf"), "332VW05KA")</f>
        <v>332VW05KA</v>
      </c>
      <c r="I636" s="2" t="str">
        <f>HYPERLINK(CONCATENATE(TabelleURL!$B$1,"342_ADIF/342VW05ZI.pdf"), " 342VW05/0/ZI")</f>
        <v xml:space="preserve"> 342VW05/0/ZI</v>
      </c>
      <c r="M636" s="5" t="str">
        <f>HYPERLINK(CONCATENATE(TabelleURL!$B$1,"345_Signalbox/3450276.pdf"), "3450276")</f>
        <v>3450276</v>
      </c>
      <c r="P636" s="5" t="str">
        <f>HYPERLINK(CONCATENATE(TabelleURL!$B$1,"345_Signalbox/3450276-W.pdf"), "3450276-W")</f>
        <v>3450276-W</v>
      </c>
      <c r="T636" s="63"/>
      <c r="U636" s="5"/>
      <c r="W636" s="5"/>
      <c r="X636" s="17"/>
      <c r="Y636" s="8"/>
      <c r="AB636" s="2" t="s">
        <v>55</v>
      </c>
      <c r="AC636" s="18"/>
      <c r="AF636" s="8" t="str">
        <f>HYPERLINK(CONCATENATE(TabelleURL!$B$1,"340_Helfer/3404700.pdf"), "B-3404700")</f>
        <v>B-3404700</v>
      </c>
      <c r="AG636" s="2"/>
      <c r="AP636" s="2"/>
    </row>
    <row r="637" spans="1:46">
      <c r="A637" s="1" t="s">
        <v>917</v>
      </c>
      <c r="B637" s="1" t="s">
        <v>938</v>
      </c>
      <c r="C637" s="1" t="s">
        <v>939</v>
      </c>
      <c r="D637" s="1" t="s">
        <v>119</v>
      </c>
      <c r="G637" s="2" t="str">
        <f>HYPERLINK(CONCATENATE(TabelleURL!$B$1,"342_ADIF/342VW01.pdf"), "342VW01/0/KA")</f>
        <v>342VW01/0/KA</v>
      </c>
      <c r="H637" s="2" t="s">
        <v>923</v>
      </c>
      <c r="I637" s="2" t="str">
        <f>HYPERLINK(CONCATENATE(TabelleURL!$B$1,"332_ADIF/332VW01ZI.pdf"), " 332VW01ZI")</f>
        <v xml:space="preserve"> 332VW01ZI</v>
      </c>
      <c r="M637" s="5" t="str">
        <f>HYPERLINK(CONCATENATE(TabelleURL!$B$1,"345_Signalbox/3450258.pdf"), "3450258")</f>
        <v>3450258</v>
      </c>
      <c r="N637" s="5" t="str">
        <f>HYPERLINK(CONCATENATE(TabelleURL!$B$1,"345_Signalbox/3450258-H.pdf"), "3450258-H")</f>
        <v>3450258-H</v>
      </c>
      <c r="P637" s="5" t="str">
        <f>HYPERLINK(CONCATENATE(TabelleURL!$B$1,"345_Signalbox/3450258-W.pdf"), "3450258-W")</f>
        <v>3450258-W</v>
      </c>
      <c r="R637" s="66" t="s">
        <v>11</v>
      </c>
      <c r="S637" s="67" t="str">
        <f>HYPERLINK(CONCATENATE(TabelleURL!$B$1,"344_URI2/3444755.pdf"), "B-3444755")</f>
        <v>B-3444755</v>
      </c>
      <c r="T637" s="63">
        <v>3470005</v>
      </c>
      <c r="U637" s="5" t="s">
        <v>51</v>
      </c>
      <c r="V637" s="4" t="str">
        <f>HYPERLINK(CONCATENATE(TabelleURL!$B$1,"344_URI2/3444755.pdf"), "B-3444755")</f>
        <v>B-3444755</v>
      </c>
      <c r="W637" s="5"/>
      <c r="X637" s="17"/>
      <c r="Y637" s="8"/>
      <c r="AC637" s="18"/>
      <c r="AF637" s="8" t="str">
        <f>HYPERLINK(CONCATENATE(TabelleURL!$B$1,"340_Helfer/3404700.pdf"), "B-3404700")</f>
        <v>B-3404700</v>
      </c>
      <c r="AG637" s="2" t="str">
        <f>HYPERLINK(CONCATENATE(TabelleURL!$B$1,"340_Helfer/3404701.pdf"), "3404701")</f>
        <v>3404701</v>
      </c>
      <c r="AH637" s="4" t="str">
        <f>HYPERLINK(CONCATENATE(TabelleURL!$B$1,"346_CAN2com/3475.pdf"), "3475857")</f>
        <v>3475857</v>
      </c>
      <c r="AL637" s="3" t="s">
        <v>7</v>
      </c>
      <c r="AN637" s="2" t="str">
        <f>HYPERLINK(CONCATENATE(TabelleURL!$B$1,"350_RICI_PDC_OBI/3500031 OBI Alfa BMW Fiat Merc Opel VW D_E.pdf"), "3500031")</f>
        <v>3500031</v>
      </c>
      <c r="AP637" s="2" t="str">
        <f>HYPERLINK(CONCATENATE(TabelleURL!$B$1,"367/3674700.pdf"), "3674700")</f>
        <v>3674700</v>
      </c>
      <c r="AQ637" s="7" t="s">
        <v>940</v>
      </c>
      <c r="AT637" s="85"/>
    </row>
    <row r="638" spans="1:46">
      <c r="A638" s="1" t="s">
        <v>917</v>
      </c>
      <c r="B638" s="1" t="s">
        <v>938</v>
      </c>
      <c r="C638" s="1" t="s">
        <v>939</v>
      </c>
      <c r="D638" s="1" t="s">
        <v>27</v>
      </c>
      <c r="E638" s="76" t="s">
        <v>924</v>
      </c>
      <c r="G638" s="2" t="str">
        <f>HYPERLINK(CONCATENATE(TabelleURL!$B$1,"342_ADIF/342VW01.pdf"), "342VW01/0/KA")</f>
        <v>342VW01/0/KA</v>
      </c>
      <c r="H638" s="2" t="s">
        <v>923</v>
      </c>
      <c r="I638" s="2" t="str">
        <f>HYPERLINK(CONCATENATE(TabelleURL!$B$1,"332_ADIF/332VW01ZI.pdf"), " 332VW01ZI")</f>
        <v xml:space="preserve"> 332VW01ZI</v>
      </c>
      <c r="M638" s="5" t="str">
        <f>HYPERLINK(CONCATENATE(TabelleURL!$B$1,"345_Signalbox/3450258.pdf"), "3450258")</f>
        <v>3450258</v>
      </c>
      <c r="N638" s="5" t="str">
        <f>HYPERLINK(CONCATENATE(TabelleURL!$B$1,"345_Signalbox/3450258-H.pdf"), "3450258-H")</f>
        <v>3450258-H</v>
      </c>
      <c r="P638" s="5" t="str">
        <f>HYPERLINK(CONCATENATE(TabelleURL!$B$1,"345_Signalbox/3450258-W.pdf"), "3450258-W")</f>
        <v>3450258-W</v>
      </c>
      <c r="R638" s="66" t="s">
        <v>221</v>
      </c>
      <c r="S638" s="67" t="str">
        <f>HYPERLINK(CONCATENATE(TabelleURL!$B$1,"344_URI2/3444756.pdf"), "B-3444756")</f>
        <v>B-3444756</v>
      </c>
      <c r="T638" s="63">
        <v>3474756</v>
      </c>
      <c r="U638" s="5" t="s">
        <v>51</v>
      </c>
      <c r="V638" s="4" t="str">
        <f>HYPERLINK(CONCATENATE(TabelleURL!$B$1,"344_URI2/3444756.pdf"), "B-3444756")</f>
        <v>B-3444756</v>
      </c>
      <c r="W638" s="5"/>
      <c r="X638" s="17"/>
      <c r="Y638" s="8"/>
      <c r="AB638" s="2" t="s">
        <v>55</v>
      </c>
      <c r="AC638" s="18"/>
      <c r="AE638" s="2" t="str">
        <f>HYPERLINK(CONCATENATE(TabelleURL!$B$1,"367/3674755-RVC.pdf"), "3674755-RVC")</f>
        <v>3674755-RVC</v>
      </c>
      <c r="AF638" s="8" t="str">
        <f>HYPERLINK(CONCATENATE(TabelleURL!$B$1,"340_Helfer/3404700.pdf"), "B-3404700")</f>
        <v>B-3404700</v>
      </c>
      <c r="AG638" s="2" t="str">
        <f>HYPERLINK(CONCATENATE(TabelleURL!$B$1,"340_Helfer/3404701.pdf"), "3404701")</f>
        <v>3404701</v>
      </c>
      <c r="AH638" s="4" t="str">
        <f>HYPERLINK(CONCATENATE(TabelleURL!$B$1,"346_CAN2com/3475.pdf"), "3475857")</f>
        <v>3475857</v>
      </c>
      <c r="AL638" s="3" t="s">
        <v>7</v>
      </c>
      <c r="AN638" s="2" t="str">
        <f>HYPERLINK(CONCATENATE(TabelleURL!$B$1,"350_RICI_PDC_OBI/3500031 OBI Alfa BMW Fiat Merc Opel VW D_E.pdf"), "3500031")</f>
        <v>3500031</v>
      </c>
      <c r="AP638" s="2" t="str">
        <f>HYPERLINK(CONCATENATE(TabelleURL!$B$1,"367/3674700.pdf"), "3674700")</f>
        <v>3674700</v>
      </c>
      <c r="AQ638" s="7" t="s">
        <v>940</v>
      </c>
      <c r="AT638" s="85"/>
    </row>
    <row r="639" spans="1:46">
      <c r="A639" s="1" t="s">
        <v>917</v>
      </c>
      <c r="B639" s="1" t="s">
        <v>938</v>
      </c>
      <c r="C639" s="1" t="s">
        <v>941</v>
      </c>
      <c r="D639" s="1" t="s">
        <v>61</v>
      </c>
      <c r="F639" s="70" t="s">
        <v>942</v>
      </c>
      <c r="G639" s="2" t="str">
        <f>HYPERLINK(CONCATENATE(TabelleURL!$B$1,"332_ADIF/332VW05.pdf"), "332VW05KA")</f>
        <v>332VW05KA</v>
      </c>
      <c r="H639" s="2" t="s">
        <v>50</v>
      </c>
      <c r="I639" s="2" t="str">
        <f>HYPERLINK(CONCATENATE(TabelleURL!$B$1,"342_ADIF/342VW05ZI.pdf"), " 342VW05/0/ZI")</f>
        <v xml:space="preserve"> 342VW05/0/ZI</v>
      </c>
      <c r="M639" s="5" t="str">
        <f>HYPERLINK(CONCATENATE(TabelleURL!$B$1,"345_Signalbox/3450276.pdf"), "3450276")</f>
        <v>3450276</v>
      </c>
      <c r="P639" s="5" t="str">
        <f>HYPERLINK(CONCATENATE(TabelleURL!$B$1,"345_Signalbox/3450276-W.pdf"), "3450276-W")</f>
        <v>3450276-W</v>
      </c>
      <c r="T639" s="63"/>
      <c r="U639" s="5"/>
      <c r="W639" s="5"/>
      <c r="X639" s="17"/>
      <c r="Y639" s="8"/>
      <c r="AC639" s="18"/>
      <c r="AE639" s="2" t="str">
        <f>HYPERLINK(CONCATENATE(TabelleURL!$B$1,"367/3674755-RVC.pdf"), "3674755-RVC")</f>
        <v>3674755-RVC</v>
      </c>
      <c r="AF639" s="8" t="str">
        <f>HYPERLINK(CONCATENATE(TabelleURL!$B$1,"340_Helfer/3404700.pdf"), "B-3404700")</f>
        <v>B-3404700</v>
      </c>
      <c r="AG639" s="2" t="str">
        <f>HYPERLINK(CONCATENATE(TabelleURL!$B$1,"340_Helfer/3404701.pdf"), "3404701")</f>
        <v>3404701</v>
      </c>
      <c r="AH639" s="4" t="str">
        <f>HYPERLINK(CONCATENATE(TabelleURL!$B$1,"346_CAN2com/3475.pdf"), "3475857")</f>
        <v>3475857</v>
      </c>
      <c r="AI639" s="5" t="str">
        <f>HYPERLINK(CONCATENATE(TabelleURL!$B$1,"3499_Taxi/34990083.pdf"), "34990083")</f>
        <v>34990083</v>
      </c>
      <c r="AP639" s="2" t="str">
        <f>HYPERLINK(CONCATENATE(TabelleURL!$B$1,"367/3674700.pdf"), "3674700")</f>
        <v>3674700</v>
      </c>
      <c r="AR639" s="3" t="s">
        <v>929</v>
      </c>
      <c r="AT639" s="2" t="str">
        <f>HYPERLINK(CONCATENATE(TabelleURL!$B$1,"340_Helfer/3406857.pdf"), "B-3406857")</f>
        <v>B-3406857</v>
      </c>
    </row>
    <row r="640" spans="1:46">
      <c r="A640" s="1" t="s">
        <v>917</v>
      </c>
      <c r="B640" s="1" t="s">
        <v>943</v>
      </c>
      <c r="D640" s="1" t="s">
        <v>86</v>
      </c>
      <c r="G640" s="2" t="str">
        <f>HYPERLINK(CONCATENATE(TabelleURL!$B$1,"342_ADIF/342VW01.pdf"), "342VW01/0/KA")</f>
        <v>342VW01/0/KA</v>
      </c>
      <c r="H640" s="2" t="s">
        <v>923</v>
      </c>
      <c r="I640" s="2" t="str">
        <f>HYPERLINK(CONCATENATE(TabelleURL!$B$1,"332_ADIF/332VW01ZI.pdf"), " 332VW01ZI")</f>
        <v xml:space="preserve"> 332VW01ZI</v>
      </c>
      <c r="R640" s="66" t="s">
        <v>11</v>
      </c>
      <c r="S640" s="67" t="str">
        <f>HYPERLINK(CONCATENATE(TabelleURL!$B$1,"344_URI2/3444755.pdf"), "B-3444755")</f>
        <v>B-3444755</v>
      </c>
      <c r="T640" s="63"/>
      <c r="U640" s="5"/>
      <c r="V640" s="4" t="str">
        <f>HYPERLINK(CONCATENATE(TabelleURL!$B$1,"344_URI2/3444755.pdf"), "B-3444755")</f>
        <v>B-3444755</v>
      </c>
      <c r="W640" s="5"/>
      <c r="X640" s="17"/>
      <c r="Y640" s="8"/>
      <c r="AB640" s="2" t="s">
        <v>55</v>
      </c>
      <c r="AC640" s="18"/>
      <c r="AE640" s="2" t="str">
        <f>HYPERLINK(CONCATENATE(TabelleURL!$B$1,"367/3674755-RVC.pdf"), "3674755-RVC")</f>
        <v>3674755-RVC</v>
      </c>
      <c r="AF640" s="8" t="str">
        <f>HYPERLINK(CONCATENATE(TabelleURL!$B$1,"340_Helfer/3404700.pdf"), "B-3404700")</f>
        <v>B-3404700</v>
      </c>
      <c r="AH640" s="4" t="str">
        <f>HYPERLINK(CONCATENATE(TabelleURL!$B$1,"346_CAN2com/3475.pdf"), "3475857")</f>
        <v>3475857</v>
      </c>
      <c r="AP640" s="2" t="str">
        <f>HYPERLINK(CONCATENATE(TabelleURL!$B$1,"367/3674700.pdf"), "3674700")</f>
        <v>3674700</v>
      </c>
    </row>
    <row r="641" spans="1:46">
      <c r="A641" s="1" t="s">
        <v>917</v>
      </c>
      <c r="B641" s="1" t="s">
        <v>944</v>
      </c>
      <c r="C641" s="1" t="s">
        <v>926</v>
      </c>
      <c r="D641" s="1" t="s">
        <v>540</v>
      </c>
      <c r="E641" s="76" t="s">
        <v>945</v>
      </c>
      <c r="G641" s="2" t="str">
        <f>HYPERLINK(CONCATENATE(TabelleURL!$B$1,"342_ADIF/342VW01.pdf"), "342VW01/0/KA")</f>
        <v>342VW01/0/KA</v>
      </c>
      <c r="H641" s="2" t="s">
        <v>923</v>
      </c>
      <c r="I641" s="2" t="str">
        <f>HYPERLINK(CONCATENATE(TabelleURL!$B$1,"332_ADIF/332VW01ZI.pdf"), " 332VW01ZI")</f>
        <v xml:space="preserve"> 332VW01ZI</v>
      </c>
      <c r="R641" s="66" t="s">
        <v>11</v>
      </c>
      <c r="S641" s="67" t="str">
        <f>HYPERLINK(CONCATENATE(TabelleURL!$B$1,"344_URI2/3444755.pdf"), "B-3444755")</f>
        <v>B-3444755</v>
      </c>
      <c r="T641" s="63">
        <v>3470005</v>
      </c>
      <c r="U641" s="5" t="s">
        <v>51</v>
      </c>
      <c r="V641" s="4" t="str">
        <f>HYPERLINK(CONCATENATE(TabelleURL!$B$1,"344_URI2/3444755.pdf"), "B-3444755")</f>
        <v>B-3444755</v>
      </c>
      <c r="W641" s="5"/>
      <c r="X641" s="17"/>
      <c r="Y641" s="8"/>
      <c r="AB641" s="2" t="s">
        <v>55</v>
      </c>
      <c r="AC641" s="18"/>
      <c r="AF641" s="8" t="str">
        <f>HYPERLINK(CONCATENATE(TabelleURL!$B$1,"340_Helfer/3404700.pdf"), "B-3404700")</f>
        <v>B-3404700</v>
      </c>
      <c r="AG641" s="2"/>
      <c r="AH641" s="4" t="str">
        <f>HYPERLINK(CONCATENATE(TabelleURL!$B$1,"346_CAN2com/3475.pdf"), "3475857")</f>
        <v>3475857</v>
      </c>
      <c r="AI641" s="5" t="str">
        <f>HYPERLINK(CONCATENATE(TabelleURL!$B$1,"3499_Taxi/34990050.pdf"), "34990050")</f>
        <v>34990050</v>
      </c>
      <c r="AJ641" s="5" t="str">
        <f>HYPERLINK(CONCATENATE(TabelleURL!$B$1,"3499_Taxi/34990050-1.pdf"), "34990050-1")</f>
        <v>34990050-1</v>
      </c>
      <c r="AP641" s="2" t="str">
        <f>HYPERLINK(CONCATENATE(TabelleURL!$B$1,"367/3674700.pdf"), "3674700")</f>
        <v>3674700</v>
      </c>
    </row>
    <row r="642" spans="1:46">
      <c r="A642" s="1" t="s">
        <v>917</v>
      </c>
      <c r="B642" s="1" t="s">
        <v>944</v>
      </c>
      <c r="C642" s="1" t="s">
        <v>946</v>
      </c>
      <c r="D642" s="1" t="s">
        <v>61</v>
      </c>
      <c r="G642" s="2" t="str">
        <f>HYPERLINK(CONCATENATE(TabelleURL!$B$1,"342_ADIF/342VW01.pdf"), "342VW01/0/KA")</f>
        <v>342VW01/0/KA</v>
      </c>
      <c r="H642" s="2" t="s">
        <v>923</v>
      </c>
      <c r="I642" s="2" t="str">
        <f>HYPERLINK(CONCATENATE(TabelleURL!$B$1,"332_ADIF/332VW01ZI.pdf"), " 332VW01ZI")</f>
        <v xml:space="preserve"> 332VW01ZI</v>
      </c>
      <c r="T642" s="63"/>
      <c r="U642" s="5"/>
      <c r="W642" s="5"/>
      <c r="X642" s="17"/>
      <c r="Y642" s="8"/>
      <c r="AC642" s="18"/>
      <c r="AE642" s="2" t="str">
        <f>HYPERLINK(CONCATENATE(TabelleURL!$B$1,"367/3674755-RVC.pdf"), "3674755-RVC")</f>
        <v>3674755-RVC</v>
      </c>
      <c r="AF642" s="8" t="str">
        <f>HYPERLINK(CONCATENATE(TabelleURL!$B$1,"340_Helfer/3404700.pdf"), "B-3404700")</f>
        <v>B-3404700</v>
      </c>
      <c r="AP642" s="2"/>
      <c r="AT642" s="2"/>
    </row>
    <row r="643" spans="1:46">
      <c r="A643" s="1" t="s">
        <v>947</v>
      </c>
      <c r="B643" s="1" t="s">
        <v>948</v>
      </c>
      <c r="D643" s="1" t="s">
        <v>86</v>
      </c>
      <c r="G643" s="2" t="str">
        <f>HYPERLINK(CONCATENATE(TabelleURL!$B$1,"342_ADIF/342VW01.pdf"), "342VW01/0/KA")</f>
        <v>342VW01/0/KA</v>
      </c>
      <c r="H643" s="2" t="s">
        <v>923</v>
      </c>
      <c r="I643" s="2" t="str">
        <f>HYPERLINK(CONCATENATE(TabelleURL!$B$1,"332_ADIF/332VW01ZI.pdf"), " 332VW01ZI")</f>
        <v xml:space="preserve"> 332VW01ZI</v>
      </c>
      <c r="R643" s="66" t="s">
        <v>11</v>
      </c>
      <c r="S643" s="67" t="str">
        <f>HYPERLINK(CONCATENATE(TabelleURL!$B$1,"344_URI2/3444755.pdf"), "B-3444755")</f>
        <v>B-3444755</v>
      </c>
      <c r="T643" s="63"/>
      <c r="U643" s="5"/>
      <c r="V643" s="4" t="str">
        <f>HYPERLINK(CONCATENATE(TabelleURL!$B$1,"344_URI2/3444755.pdf"), "B-3444755")</f>
        <v>B-3444755</v>
      </c>
      <c r="W643" s="5"/>
      <c r="X643" s="17"/>
      <c r="Y643" s="8"/>
      <c r="AB643" s="2" t="s">
        <v>55</v>
      </c>
      <c r="AC643" s="18"/>
      <c r="AE643" s="2" t="str">
        <f>HYPERLINK(CONCATENATE(TabelleURL!$B$1,"367/3674755-RVC.pdf"), "3674755-RVC")</f>
        <v>3674755-RVC</v>
      </c>
      <c r="AF643" s="8" t="str">
        <f>HYPERLINK(CONCATENATE(TabelleURL!$B$1,"340_Helfer/3404700.pdf"), "B-3404700")</f>
        <v>B-3404700</v>
      </c>
      <c r="AH643" s="4" t="str">
        <f>HYPERLINK(CONCATENATE(TabelleURL!$B$1,"346_CAN2com/3475.pdf"), "3475857")</f>
        <v>3475857</v>
      </c>
      <c r="AP643" s="2" t="str">
        <f>HYPERLINK(CONCATENATE(TabelleURL!$B$1,"367/3674700.pdf"), "3674700")</f>
        <v>3674700</v>
      </c>
    </row>
    <row r="644" spans="1:46">
      <c r="A644" s="1" t="s">
        <v>947</v>
      </c>
      <c r="B644" s="1" t="s">
        <v>949</v>
      </c>
      <c r="C644" s="1" t="s">
        <v>950</v>
      </c>
      <c r="D644" s="1" t="s">
        <v>951</v>
      </c>
      <c r="G644" s="2" t="str">
        <f>HYPERLINK(CONCATENATE(TabelleURL!$B$1,"342_ADIF/342VW01.pdf"), "342VW01/0/KA")</f>
        <v>342VW01/0/KA</v>
      </c>
      <c r="H644" s="2" t="s">
        <v>923</v>
      </c>
      <c r="I644" s="2" t="str">
        <f>HYPERLINK(CONCATENATE(TabelleURL!$B$1,"332_ADIF/332VW01ZI.pdf"), " 332VW01ZI")</f>
        <v xml:space="preserve"> 332VW01ZI</v>
      </c>
      <c r="T644" s="63"/>
      <c r="U644" s="5"/>
      <c r="W644" s="5"/>
      <c r="X644" s="17"/>
      <c r="Y644" s="8"/>
      <c r="AC644" s="18"/>
    </row>
    <row r="645" spans="1:46">
      <c r="A645" s="1" t="s">
        <v>947</v>
      </c>
      <c r="B645" s="1" t="s">
        <v>949</v>
      </c>
      <c r="C645" s="1" t="s">
        <v>952</v>
      </c>
      <c r="D645" s="1" t="s">
        <v>251</v>
      </c>
      <c r="E645" s="76" t="s">
        <v>953</v>
      </c>
      <c r="G645" s="2" t="str">
        <f>HYPERLINK(CONCATENATE(TabelleURL!$B$1,"342_ADIF/342SK01.pdf"), "342SK01/0/KA, 342SK01/2")</f>
        <v>342SK01/0/KA, 342SK01/2</v>
      </c>
      <c r="R645" s="66" t="s">
        <v>11</v>
      </c>
      <c r="S645" s="67" t="str">
        <f>HYPERLINK(CONCATENATE(TabelleURL!$B$1,"344_URI2/3444755.pdf"), "B-3444755")</f>
        <v>B-3444755</v>
      </c>
      <c r="T645" s="63"/>
      <c r="U645" s="5"/>
      <c r="V645" s="4" t="str">
        <f>HYPERLINK(CONCATENATE(TabelleURL!$B$1,"344_URI2/3444755.pdf"), "B-3444755")</f>
        <v>B-3444755</v>
      </c>
      <c r="W645" s="5"/>
      <c r="X645" s="17"/>
      <c r="Y645" s="8"/>
      <c r="AA645" s="4">
        <v>3670403</v>
      </c>
      <c r="AB645" s="2" t="s">
        <v>55</v>
      </c>
      <c r="AC645" s="18"/>
      <c r="AF645" s="8" t="str">
        <f>HYPERLINK(CONCATENATE(TabelleURL!$B$1,"340_Helfer/3404700.pdf"), "B-3404700")</f>
        <v>B-3404700</v>
      </c>
      <c r="AG645" s="2" t="str">
        <f>HYPERLINK(CONCATENATE(TabelleURL!$B$1,"340_Helfer/3404701.pdf"), "3404701")</f>
        <v>3404701</v>
      </c>
      <c r="AL645" s="3" t="s">
        <v>7</v>
      </c>
      <c r="AN645" s="2" t="str">
        <f>HYPERLINK(CONCATENATE(TabelleURL!$B$1,"350_RICI_PDC_OBI/3500031 OBI Alfa BMW Fiat Merc Opel VW D_E.pdf"), "3500031")</f>
        <v>3500031</v>
      </c>
      <c r="AQ645" s="7" t="s">
        <v>940</v>
      </c>
    </row>
    <row r="646" spans="1:46">
      <c r="A646" s="1" t="s">
        <v>947</v>
      </c>
      <c r="B646" s="1" t="s">
        <v>949</v>
      </c>
      <c r="C646" s="1" t="s">
        <v>952</v>
      </c>
      <c r="D646" s="1" t="s">
        <v>97</v>
      </c>
      <c r="E646" s="76" t="s">
        <v>954</v>
      </c>
      <c r="R646" s="66" t="s">
        <v>221</v>
      </c>
      <c r="S646" s="67" t="str">
        <f>HYPERLINK(CONCATENATE(TabelleURL!$B$1,"344_URI2/3444756.pdf"), "B-3444756")</f>
        <v>B-3444756</v>
      </c>
      <c r="T646" s="63"/>
      <c r="U646" s="5"/>
      <c r="V646" s="4" t="str">
        <f>HYPERLINK(CONCATENATE(TabelleURL!$B$1,"344_URI2/3444756.pdf"), "B-3444756")</f>
        <v>B-3444756</v>
      </c>
      <c r="W646" s="5"/>
      <c r="X646" s="17"/>
      <c r="Y646" s="8"/>
      <c r="AC646" s="18"/>
      <c r="AE646" s="2" t="str">
        <f>HYPERLINK(CONCATENATE(TabelleURL!$B$1,"367/3674755-RVC.pdf"), "3674755-RVC")</f>
        <v>3674755-RVC</v>
      </c>
      <c r="AF646" s="8" t="str">
        <f>HYPERLINK(CONCATENATE(TabelleURL!$B$1,"340_Helfer/3404700.pdf"), "B-3404700")</f>
        <v>B-3404700</v>
      </c>
      <c r="AG646" s="2" t="str">
        <f>HYPERLINK(CONCATENATE(TabelleURL!$B$1,"340_Helfer/3404701.pdf"), "3404701")</f>
        <v>3404701</v>
      </c>
      <c r="AH646" s="4" t="str">
        <f>HYPERLINK(CONCATENATE(TabelleURL!$B$1,"346_CAN2com/3475.pdf"), "3475857")</f>
        <v>3475857</v>
      </c>
      <c r="AP646" s="2" t="str">
        <f>HYPERLINK(CONCATENATE(TabelleURL!$B$1,"367/3674700.pdf"), "3674700")</f>
        <v>3674700</v>
      </c>
    </row>
    <row r="647" spans="1:46">
      <c r="A647" s="1" t="s">
        <v>947</v>
      </c>
      <c r="B647" s="1" t="s">
        <v>949</v>
      </c>
      <c r="C647" s="1" t="s">
        <v>955</v>
      </c>
      <c r="D647" s="1" t="s">
        <v>116</v>
      </c>
      <c r="G647" s="2" t="str">
        <f>HYPERLINK(CONCATENATE(TabelleURL!$B$1,"332_ADIF/332VW05.pdf"), "332VW05KA")</f>
        <v>332VW05KA</v>
      </c>
      <c r="H647" s="25" t="s">
        <v>50</v>
      </c>
      <c r="I647" s="26" t="str">
        <f>HYPERLINK(CONCATENATE(TabelleURL!$B$1,"342_ADIF/342VW05ZI.pdf"), " 342VW05/0/ZI")</f>
        <v xml:space="preserve"> 342VW05/0/ZI</v>
      </c>
      <c r="M647" s="5" t="str">
        <f>HYPERLINK(CONCATENATE(TabelleURL!$B$1,"345_Signalbox/3450276.pdf"), "3450276")</f>
        <v>3450276</v>
      </c>
      <c r="P647" s="5" t="str">
        <f>HYPERLINK(CONCATENATE(TabelleURL!$B$1,"345_Signalbox/3450276-W.pdf"), "3450276-W")</f>
        <v>3450276-W</v>
      </c>
      <c r="T647" s="63"/>
      <c r="U647" s="5"/>
      <c r="W647" s="5"/>
      <c r="X647" s="17"/>
      <c r="Y647" s="8"/>
      <c r="AC647" s="18"/>
      <c r="AF647" s="8" t="str">
        <f>HYPERLINK(CONCATENATE(TabelleURL!$B$1,"340_Helfer/3404700.pdf"), "B-3404700")</f>
        <v>B-3404700</v>
      </c>
      <c r="AG647" s="2" t="str">
        <f>HYPERLINK(CONCATENATE(TabelleURL!$B$1,"340_Helfer/3404701.pdf"), "3404701")</f>
        <v>3404701</v>
      </c>
      <c r="AP647" s="2" t="str">
        <f>HYPERLINK(CONCATENATE(TabelleURL!$B$1,"367/3674700.pdf"), "3674700")</f>
        <v>3674700</v>
      </c>
      <c r="AT647" s="2" t="str">
        <f>HYPERLINK(CONCATENATE(TabelleURL!$B$1,"340_Helfer/3406857.pdf"), "B-3406857")</f>
        <v>B-3406857</v>
      </c>
    </row>
    <row r="648" spans="1:46">
      <c r="A648" s="1" t="s">
        <v>947</v>
      </c>
      <c r="B648" s="1" t="s">
        <v>956</v>
      </c>
      <c r="C648" s="1" t="s">
        <v>957</v>
      </c>
      <c r="D648" s="1" t="s">
        <v>798</v>
      </c>
      <c r="G648" s="2" t="str">
        <f>HYPERLINK(CONCATENATE(TabelleURL!$B$1,"342_ADIF/342SK01.pdf"), "342SK01/0/KA, 342SK01/2")</f>
        <v>342SK01/0/KA, 342SK01/2</v>
      </c>
      <c r="T648" s="63"/>
      <c r="U648" s="5"/>
      <c r="W648" s="5"/>
      <c r="X648" s="17"/>
      <c r="Y648" s="8"/>
      <c r="AC648" s="18"/>
    </row>
    <row r="649" spans="1:46">
      <c r="A649" s="1" t="s">
        <v>947</v>
      </c>
      <c r="B649" s="1" t="s">
        <v>956</v>
      </c>
      <c r="C649" s="1" t="s">
        <v>958</v>
      </c>
      <c r="D649" s="1" t="s">
        <v>540</v>
      </c>
      <c r="E649" s="76" t="s">
        <v>959</v>
      </c>
      <c r="G649" s="2" t="str">
        <f>HYPERLINK(CONCATENATE(TabelleURL!$B$1,"342_ADIF/342SK01.pdf"), "342SK01/0/KA, 342SK01/2")</f>
        <v>342SK01/0/KA, 342SK01/2</v>
      </c>
      <c r="R649" s="66" t="s">
        <v>11</v>
      </c>
      <c r="S649" s="67" t="str">
        <f>HYPERLINK(CONCATENATE(TabelleURL!$B$1,"344_URI2/3444755.pdf"), "B-3444755")</f>
        <v>B-3444755</v>
      </c>
      <c r="T649" s="63">
        <v>3470005</v>
      </c>
      <c r="U649" s="5" t="s">
        <v>51</v>
      </c>
      <c r="V649" s="4" t="str">
        <f>HYPERLINK(CONCATENATE(TabelleURL!$B$1,"344_URI2/3444755.pdf"), "B-3444755")</f>
        <v>B-3444755</v>
      </c>
      <c r="W649" s="5"/>
      <c r="X649" s="17"/>
      <c r="Y649" s="8"/>
      <c r="AC649" s="18"/>
      <c r="AF649" s="8" t="str">
        <f>HYPERLINK(CONCATENATE(TabelleURL!$B$1,"340_Helfer/3404700.pdf"), "B-3404700")</f>
        <v>B-3404700</v>
      </c>
      <c r="AG649" s="2" t="str">
        <f>HYPERLINK(CONCATENATE(TabelleURL!$B$1,"340_Helfer/3404701.pdf"), "3404701")</f>
        <v>3404701</v>
      </c>
      <c r="AH649" s="4" t="str">
        <f>HYPERLINK(CONCATENATE(TabelleURL!$B$1,"346_CAN2com/3475.pdf"), "3475857")</f>
        <v>3475857</v>
      </c>
      <c r="AI649" s="5" t="str">
        <f>HYPERLINK(CONCATENATE(TabelleURL!$B$1,"3499_Taxi/34990050.pdf"), "34990050")</f>
        <v>34990050</v>
      </c>
      <c r="AJ649" s="5" t="str">
        <f>HYPERLINK(CONCATENATE(TabelleURL!$B$1,"3499_Taxi/34990050-1.pdf"), "34990050-1")</f>
        <v>34990050-1</v>
      </c>
      <c r="AL649" s="3" t="s">
        <v>7</v>
      </c>
      <c r="AN649" s="2" t="str">
        <f>HYPERLINK(CONCATENATE(TabelleURL!$B$1,"350_RICI_PDC_OBI/3500031 OBI Alfa BMW Fiat Merc Opel VW D_E.pdf"), "3500031")</f>
        <v>3500031</v>
      </c>
      <c r="AP649" s="2" t="str">
        <f>HYPERLINK(CONCATENATE(TabelleURL!$B$1,"367/3674700.pdf"), "3674700")</f>
        <v>3674700</v>
      </c>
    </row>
    <row r="650" spans="1:46">
      <c r="A650" s="1" t="s">
        <v>947</v>
      </c>
      <c r="B650" s="1" t="s">
        <v>956</v>
      </c>
      <c r="C650" s="1" t="s">
        <v>958</v>
      </c>
      <c r="D650" s="1" t="s">
        <v>960</v>
      </c>
      <c r="E650" s="76" t="s">
        <v>954</v>
      </c>
      <c r="G650" s="2" t="str">
        <f>HYPERLINK(CONCATENATE(TabelleURL!$B$1,"342_ADIF/342SK01.pdf"), "342SK01/0/KA, 342SK01/2")</f>
        <v>342SK01/0/KA, 342SK01/2</v>
      </c>
      <c r="M650" s="5" t="str">
        <f>HYPERLINK(CONCATENATE(TabelleURL!$B$1,"345_Signalbox/3450258.pdf"), "3450258")</f>
        <v>3450258</v>
      </c>
      <c r="N650" s="5" t="str">
        <f>HYPERLINK(CONCATENATE(TabelleURL!$B$1,"345_Signalbox/3450258-H.pdf"), "3450258-H")</f>
        <v>3450258-H</v>
      </c>
      <c r="P650" s="5" t="str">
        <f>HYPERLINK(CONCATENATE(TabelleURL!$B$1,"345_Signalbox/3450258-W.pdf"), "3450258-W")</f>
        <v>3450258-W</v>
      </c>
      <c r="R650" s="66" t="s">
        <v>221</v>
      </c>
      <c r="S650" s="67" t="str">
        <f>HYPERLINK(CONCATENATE(TabelleURL!$B$1,"344_URI2/3444756.pdf"), "B-3444756")</f>
        <v>B-3444756</v>
      </c>
      <c r="T650" s="63">
        <v>3474756</v>
      </c>
      <c r="U650" s="5" t="s">
        <v>51</v>
      </c>
      <c r="V650" s="4" t="str">
        <f>HYPERLINK(CONCATENATE(TabelleURL!$B$1,"344_URI2/3444756.pdf"), "B-3444756")</f>
        <v>B-3444756</v>
      </c>
      <c r="W650" s="5"/>
      <c r="X650" s="17"/>
      <c r="Y650" s="8"/>
      <c r="AA650" s="4">
        <v>3670403</v>
      </c>
      <c r="AB650" s="2" t="s">
        <v>55</v>
      </c>
      <c r="AC650" s="18"/>
      <c r="AF650" s="8" t="str">
        <f>HYPERLINK(CONCATENATE(TabelleURL!$B$1,"340_Helfer/3404700.pdf"), "B-3404700")</f>
        <v>B-3404700</v>
      </c>
      <c r="AG650" s="2" t="str">
        <f>HYPERLINK(CONCATENATE(TabelleURL!$B$1,"340_Helfer/3404701.pdf"), "3404701")</f>
        <v>3404701</v>
      </c>
      <c r="AH650" s="4" t="str">
        <f>HYPERLINK(CONCATENATE(TabelleURL!$B$1,"346_CAN2com/3475.pdf"), "3475857")</f>
        <v>3475857</v>
      </c>
      <c r="AI650" s="5" t="str">
        <f>HYPERLINK(CONCATENATE(TabelleURL!$B$1,"3499_Taxi/34990049.pdf"), "34990049")</f>
        <v>34990049</v>
      </c>
      <c r="AL650" s="3" t="s">
        <v>7</v>
      </c>
      <c r="AP650" s="2" t="str">
        <f>HYPERLINK(CONCATENATE(TabelleURL!$B$1,"367/3674700.pdf"), "3674700")</f>
        <v>3674700</v>
      </c>
      <c r="AQ650" s="7" t="s">
        <v>940</v>
      </c>
      <c r="AT650" s="2"/>
    </row>
    <row r="651" spans="1:46">
      <c r="A651" s="1" t="s">
        <v>947</v>
      </c>
      <c r="B651" s="1" t="s">
        <v>956</v>
      </c>
      <c r="C651" s="1" t="s">
        <v>958</v>
      </c>
      <c r="D651" s="1" t="s">
        <v>960</v>
      </c>
      <c r="E651" s="76" t="s">
        <v>924</v>
      </c>
      <c r="G651" s="2" t="str">
        <f>HYPERLINK(CONCATENATE(TabelleURL!$B$1,"342_ADIF/342SK01.pdf"), "342SK01/0/KA, 342SK01/2")</f>
        <v>342SK01/0/KA, 342SK01/2</v>
      </c>
      <c r="M651" s="5" t="str">
        <f>HYPERLINK(CONCATENATE(TabelleURL!$B$1,"345_Signalbox/3450258.pdf"), "3450258")</f>
        <v>3450258</v>
      </c>
      <c r="N651" s="5" t="str">
        <f>HYPERLINK(CONCATENATE(TabelleURL!$B$1,"345_Signalbox/3450258-H.pdf"), "3450258-H")</f>
        <v>3450258-H</v>
      </c>
      <c r="P651" s="5" t="str">
        <f>HYPERLINK(CONCATENATE(TabelleURL!$B$1,"345_Signalbox/3450258-W.pdf"), "3450258-W")</f>
        <v>3450258-W</v>
      </c>
      <c r="R651" s="66" t="s">
        <v>221</v>
      </c>
      <c r="S651" s="67" t="str">
        <f>HYPERLINK(CONCATENATE(TabelleURL!$B$1,"344_URI2/3444756.pdf"), "B-3444756")</f>
        <v>B-3444756</v>
      </c>
      <c r="T651" s="63">
        <v>3474756</v>
      </c>
      <c r="U651" s="5" t="s">
        <v>51</v>
      </c>
      <c r="V651" s="4" t="str">
        <f>HYPERLINK(CONCATENATE(TabelleURL!$B$1,"344_URI2/3444756.pdf"), "B-3444756")</f>
        <v>B-3444756</v>
      </c>
      <c r="W651" s="5"/>
      <c r="X651" s="17"/>
      <c r="Y651" s="8"/>
      <c r="AA651" s="4">
        <v>3670403</v>
      </c>
      <c r="AB651" s="2" t="s">
        <v>55</v>
      </c>
      <c r="AC651" s="18"/>
      <c r="AF651" s="8" t="str">
        <f>HYPERLINK(CONCATENATE(TabelleURL!$B$1,"340_Helfer/3404700.pdf"), "B-3404700")</f>
        <v>B-3404700</v>
      </c>
      <c r="AG651" s="2" t="str">
        <f>HYPERLINK(CONCATENATE(TabelleURL!$B$1,"340_Helfer/3404701.pdf"), "3404701")</f>
        <v>3404701</v>
      </c>
      <c r="AH651" s="4" t="str">
        <f>HYPERLINK(CONCATENATE(TabelleURL!$B$1,"346_CAN2com/3475.pdf"), "3475857")</f>
        <v>3475857</v>
      </c>
      <c r="AI651" s="5" t="str">
        <f>HYPERLINK(CONCATENATE(TabelleURL!$B$1,"3499_Taxi/34990049.pdf"), "34990049")</f>
        <v>34990049</v>
      </c>
      <c r="AL651" s="3" t="s">
        <v>7</v>
      </c>
      <c r="AP651" s="2" t="str">
        <f>HYPERLINK(CONCATENATE(TabelleURL!$B$1,"367/3674700.pdf"), "3674700")</f>
        <v>3674700</v>
      </c>
      <c r="AT651" s="2"/>
    </row>
    <row r="652" spans="1:46">
      <c r="A652" s="1" t="s">
        <v>947</v>
      </c>
      <c r="B652" s="1" t="s">
        <v>956</v>
      </c>
      <c r="C652" s="1" t="s">
        <v>961</v>
      </c>
      <c r="D652" s="1" t="s">
        <v>61</v>
      </c>
      <c r="F652" s="70" t="s">
        <v>393</v>
      </c>
      <c r="G652" s="2" t="str">
        <f>HYPERLINK(CONCATENATE(TabelleURL!$B$1,"332_ADIF/332VW05.pdf"), "332VW05KA")</f>
        <v>332VW05KA</v>
      </c>
      <c r="H652" s="2" t="s">
        <v>50</v>
      </c>
      <c r="I652" s="2" t="str">
        <f>HYPERLINK(CONCATENATE(TabelleURL!$B$1,"342_ADIF/342VW05ZI.pdf"), "342VW05/0/ZI")</f>
        <v>342VW05/0/ZI</v>
      </c>
      <c r="M652" s="5" t="str">
        <f>HYPERLINK(CONCATENATE(TabelleURL!$B$1,"345_Signalbox/3450276.pdf"), "3450276")</f>
        <v>3450276</v>
      </c>
      <c r="P652" s="5" t="str">
        <f>HYPERLINK(CONCATENATE(TabelleURL!$B$1,"345_Signalbox/3450276-W.pdf"), "3450276-W")</f>
        <v>3450276-W</v>
      </c>
      <c r="T652" s="63"/>
      <c r="U652" s="5"/>
      <c r="W652" s="5"/>
      <c r="X652" s="17"/>
      <c r="Y652" s="8"/>
      <c r="AC652" s="18"/>
      <c r="AF652" s="8" t="str">
        <f>HYPERLINK(CONCATENATE(TabelleURL!$B$1,"340_Helfer/3404700.pdf"), "B-3404700")</f>
        <v>B-3404700</v>
      </c>
      <c r="AG652" s="2" t="str">
        <f>HYPERLINK(CONCATENATE(TabelleURL!$B$1,"340_Helfer/3404701.pdf"), "3404701")</f>
        <v>3404701</v>
      </c>
      <c r="AH652" s="4" t="str">
        <f>HYPERLINK(CONCATENATE(TabelleURL!$B$1,"346_CAN2com/3475857.pdf"), "3475857")</f>
        <v>3475857</v>
      </c>
      <c r="AI652" s="5" t="str">
        <f>HYPERLINK(CONCATENATE(TabelleURL!$B$1,"3499_Taxi/34990083.pdf"), "34990083")</f>
        <v>34990083</v>
      </c>
      <c r="AP652" s="2" t="str">
        <f>HYPERLINK(CONCATENATE(TabelleURL!$B$1,"367/3674700.pdf"), "3674700")</f>
        <v>3674700</v>
      </c>
      <c r="AR652" s="3" t="s">
        <v>929</v>
      </c>
      <c r="AS652" s="83" t="str">
        <f>HYPERLINK(CONCATENATE(TabelleURL!$B$1,"339_MWS/B-339VW01.pdf"), "B-339VW01")</f>
        <v>B-339VW01</v>
      </c>
      <c r="AT652" s="2" t="str">
        <f>HYPERLINK(CONCATENATE(TabelleURL!$B$1,"340_Helfer/3406857.pdf"), "B-3406857")</f>
        <v>B-3406857</v>
      </c>
    </row>
    <row r="653" spans="1:46" ht="22.5">
      <c r="A653" s="1" t="s">
        <v>947</v>
      </c>
      <c r="B653" s="1" t="s">
        <v>962</v>
      </c>
      <c r="D653" s="1" t="s">
        <v>61</v>
      </c>
      <c r="F653" s="70" t="s">
        <v>963</v>
      </c>
      <c r="T653" s="63"/>
      <c r="U653" s="5"/>
      <c r="W653" s="5"/>
      <c r="X653" s="17"/>
      <c r="Y653" s="8"/>
      <c r="AC653" s="18"/>
      <c r="AE653" s="2" t="str">
        <f>HYPERLINK(CONCATENATE(TabelleURL!$B$1,"367/3674755-RVC.pdf"), "3674755-RVC")</f>
        <v>3674755-RVC</v>
      </c>
      <c r="AF653" s="8" t="str">
        <f>HYPERLINK(CONCATENATE(TabelleURL!$B$1,"340_Helfer/3404700.pdf"), "B-3404700")</f>
        <v>B-3404700</v>
      </c>
      <c r="AG653" s="2" t="str">
        <f>HYPERLINK(CONCATENATE(TabelleURL!$B$1,"340_Helfer/3404701.pdf"), "3404701")</f>
        <v>3404701</v>
      </c>
      <c r="AH653" s="4" t="str">
        <f>HYPERLINK(CONCATENATE(TabelleURL!$B$1,"346_CAN2com/3475.pdf"), "3475857")</f>
        <v>3475857</v>
      </c>
      <c r="AP653" s="2" t="str">
        <f>HYPERLINK(CONCATENATE(TabelleURL!$B$1,"367/3674700.pdf"), "3674700")</f>
        <v>3674700</v>
      </c>
      <c r="AT653" s="2"/>
    </row>
    <row r="654" spans="1:46">
      <c r="A654" s="1" t="s">
        <v>947</v>
      </c>
      <c r="B654" s="1" t="s">
        <v>964</v>
      </c>
      <c r="C654" s="1" t="s">
        <v>965</v>
      </c>
      <c r="D654" s="1" t="s">
        <v>8</v>
      </c>
      <c r="G654" s="2" t="str">
        <f>HYPERLINK(CONCATENATE(TabelleURL!$B$1,"342_ADIF/342SK01.pdf"), "342SK01/0/KA, 342SK01/2")</f>
        <v>342SK01/0/KA, 342SK01/2</v>
      </c>
      <c r="R654" s="66" t="s">
        <v>11</v>
      </c>
      <c r="S654" s="67" t="str">
        <f>HYPERLINK(CONCATENATE(TabelleURL!$B$1,"344_URI2/3444755.pdf"), "B-3444755")</f>
        <v>B-3444755</v>
      </c>
      <c r="T654" s="63">
        <v>3470005</v>
      </c>
      <c r="U654" s="5" t="s">
        <v>51</v>
      </c>
      <c r="V654" s="4" t="str">
        <f>HYPERLINK(CONCATENATE(TabelleURL!$B$1,"344_URI2/3444755.pdf"), "B-3444755")</f>
        <v>B-3444755</v>
      </c>
      <c r="W654" s="5"/>
      <c r="X654" s="17"/>
      <c r="Y654" s="8"/>
      <c r="AA654" s="4">
        <v>3670403</v>
      </c>
      <c r="AB654" s="2" t="s">
        <v>55</v>
      </c>
      <c r="AC654" s="18"/>
      <c r="AF654" s="8" t="str">
        <f>HYPERLINK(CONCATENATE(TabelleURL!$B$1,"340_Helfer/3404700.pdf"), "B-3404700")</f>
        <v>B-3404700</v>
      </c>
      <c r="AG654" s="2" t="str">
        <f>HYPERLINK(CONCATENATE(TabelleURL!$B$1,"340_Helfer/3404701.pdf"), "3404701")</f>
        <v>3404701</v>
      </c>
      <c r="AH654" s="4" t="str">
        <f>HYPERLINK(CONCATENATE(TabelleURL!$B$1,"346_CAN2com/3475.pdf"), "3475857")</f>
        <v>3475857</v>
      </c>
      <c r="AL654" s="3" t="s">
        <v>7</v>
      </c>
      <c r="AN654" s="2" t="str">
        <f>HYPERLINK(CONCATENATE(TabelleURL!$B$1,"350_RICI_PDC_OBI/3500031 OBI Alfa BMW Fiat Merc Opel VW D_E.pdf"), "3500031")</f>
        <v>3500031</v>
      </c>
      <c r="AP654" s="2" t="str">
        <f>HYPERLINK(CONCATENATE(TabelleURL!$B$1,"367/3674700.pdf"), "3674700")</f>
        <v>3674700</v>
      </c>
    </row>
    <row r="655" spans="1:46">
      <c r="A655" s="1" t="s">
        <v>947</v>
      </c>
      <c r="B655" s="1" t="s">
        <v>964</v>
      </c>
      <c r="C655" s="1" t="s">
        <v>965</v>
      </c>
      <c r="D655" s="1" t="s">
        <v>27</v>
      </c>
      <c r="E655" s="76" t="s">
        <v>954</v>
      </c>
      <c r="G655" s="2" t="str">
        <f>HYPERLINK(CONCATENATE(TabelleURL!$B$1,"342_ADIF/342SK01.pdf"), "342SK01/0/KA, 342SK01/2")</f>
        <v>342SK01/0/KA, 342SK01/2</v>
      </c>
      <c r="R655" s="66" t="s">
        <v>221</v>
      </c>
      <c r="S655" s="67" t="str">
        <f>HYPERLINK(CONCATENATE(TabelleURL!$B$1,"344_URI2/3444756.pdf"), "B-3444756")</f>
        <v>B-3444756</v>
      </c>
      <c r="T655" s="63"/>
      <c r="U655" s="5"/>
      <c r="V655" s="4" t="str">
        <f>HYPERLINK(CONCATENATE(TabelleURL!$B$1,"344_URI2/3444756.pdf"), "B-3444756")</f>
        <v>B-3444756</v>
      </c>
      <c r="W655" s="5"/>
      <c r="X655" s="17"/>
      <c r="Y655" s="8"/>
      <c r="AA655" s="4">
        <v>3670403</v>
      </c>
      <c r="AB655" s="2" t="s">
        <v>55</v>
      </c>
      <c r="AC655" s="18"/>
      <c r="AE655" s="2" t="str">
        <f>HYPERLINK(CONCATENATE(TabelleURL!$B$1,"367/3674755-RVC.pdf"), "3674755-RVC")</f>
        <v>3674755-RVC</v>
      </c>
      <c r="AF655" s="8" t="str">
        <f>HYPERLINK(CONCATENATE(TabelleURL!$B$1,"340_Helfer/3404700.pdf"), "B-3404700")</f>
        <v>B-3404700</v>
      </c>
      <c r="AG655" s="2" t="str">
        <f>HYPERLINK(CONCATENATE(TabelleURL!$B$1,"340_Helfer/3404701.pdf"), "3404701")</f>
        <v>3404701</v>
      </c>
      <c r="AH655" s="4" t="str">
        <f>HYPERLINK(CONCATENATE(TabelleURL!$B$1,"346_CAN2com/3475.pdf"), "3475857")</f>
        <v>3475857</v>
      </c>
      <c r="AL655" s="3" t="s">
        <v>7</v>
      </c>
      <c r="AN655" s="2" t="str">
        <f>HYPERLINK(CONCATENATE(TabelleURL!$B$1,"350_RICI_PDC_OBI/3500031 OBI Alfa BMW Fiat Merc Opel VW D_E.pdf"), "3500031")</f>
        <v>3500031</v>
      </c>
      <c r="AP655" s="2" t="str">
        <f>HYPERLINK(CONCATENATE(TabelleURL!$B$1,"367/3674700.pdf"), "3674700")</f>
        <v>3674700</v>
      </c>
      <c r="AT655" s="2"/>
    </row>
    <row r="656" spans="1:46">
      <c r="A656" s="1" t="s">
        <v>947</v>
      </c>
      <c r="B656" s="1" t="s">
        <v>966</v>
      </c>
      <c r="C656" s="1" t="s">
        <v>967</v>
      </c>
      <c r="D656" s="1" t="s">
        <v>170</v>
      </c>
      <c r="G656" s="2" t="str">
        <f>HYPERLINK(CONCATENATE(TabelleURL!$B$1,"342_ADIF/342SK01.pdf"), "342SK01/0/KA, 342SK01/2")</f>
        <v>342SK01/0/KA, 342SK01/2</v>
      </c>
      <c r="T656" s="63"/>
      <c r="U656" s="5"/>
      <c r="W656" s="5"/>
      <c r="X656" s="17"/>
      <c r="Y656" s="8"/>
      <c r="AC656" s="18"/>
      <c r="AF656" s="8" t="str">
        <f>HYPERLINK(CONCATENATE(TabelleURL!$B$1,"340_Helfer/3404700.pdf"), "B-3404700")</f>
        <v>B-3404700</v>
      </c>
      <c r="AG656" s="2" t="str">
        <f>HYPERLINK(CONCATENATE(TabelleURL!$B$1,"340_Helfer/3404701.pdf"), "3404701")</f>
        <v>3404701</v>
      </c>
      <c r="AL656" s="3" t="s">
        <v>7</v>
      </c>
      <c r="AN656" s="2" t="str">
        <f>HYPERLINK(CONCATENATE(TabelleURL!$B$1,"350_RICI_PDC_OBI/3500031 OBI Alfa BMW Fiat Merc Opel VW D_E.pdf"), "3500031")</f>
        <v>3500031</v>
      </c>
      <c r="AP656" s="2" t="str">
        <f>HYPERLINK(CONCATENATE(TabelleURL!$B$1,"367/3674700.pdf"), "3674700")</f>
        <v>3674700</v>
      </c>
    </row>
    <row r="657" spans="1:46">
      <c r="A657" s="1" t="s">
        <v>947</v>
      </c>
      <c r="B657" s="1" t="s">
        <v>966</v>
      </c>
      <c r="C657" s="1" t="s">
        <v>968</v>
      </c>
      <c r="D657" s="1" t="s">
        <v>29</v>
      </c>
      <c r="E657" s="76" t="s">
        <v>954</v>
      </c>
      <c r="G657" s="2" t="str">
        <f>HYPERLINK(CONCATENATE(TabelleURL!$B$1,"342_ADIF/342SK01.pdf"), "342SK01/0/KA, 342SK01/2")</f>
        <v>342SK01/0/KA, 342SK01/2</v>
      </c>
      <c r="M657" s="5" t="str">
        <f>HYPERLINK(CONCATENATE(TabelleURL!$B$1,"345_Signalbox/3450258.pdf"), "3450258")</f>
        <v>3450258</v>
      </c>
      <c r="N657" s="5" t="str">
        <f>HYPERLINK(CONCATENATE(TabelleURL!$B$1,"345_Signalbox/3450258-H.pdf"), "3450258-H")</f>
        <v>3450258-H</v>
      </c>
      <c r="P657" s="5" t="str">
        <f>HYPERLINK(CONCATENATE(TabelleURL!$B$1,"345_Signalbox/3450258-W.pdf"), "3450258-W")</f>
        <v>3450258-W</v>
      </c>
      <c r="R657" s="66" t="s">
        <v>221</v>
      </c>
      <c r="S657" s="67" t="str">
        <f>HYPERLINK(CONCATENATE(TabelleURL!$B$1,"344_URI2/3444756.pdf"), "B-3444756")</f>
        <v>B-3444756</v>
      </c>
      <c r="T657" s="63">
        <v>3474756</v>
      </c>
      <c r="U657" s="5" t="s">
        <v>51</v>
      </c>
      <c r="V657" s="4" t="str">
        <f>HYPERLINK(CONCATENATE(TabelleURL!$B$1,"344_URI2/3444756.pdf"), "B-3444756")</f>
        <v>B-3444756</v>
      </c>
      <c r="W657" s="5"/>
      <c r="X657" s="17"/>
      <c r="Y657" s="8"/>
      <c r="AC657" s="18"/>
      <c r="AF657" s="8" t="str">
        <f>HYPERLINK(CONCATENATE(TabelleURL!$B$1,"340_Helfer/3404700.pdf"), "B-3404700")</f>
        <v>B-3404700</v>
      </c>
      <c r="AG657" s="2" t="str">
        <f>HYPERLINK(CONCATENATE(TabelleURL!$B$1,"340_Helfer/3404701.pdf"), "3404701")</f>
        <v>3404701</v>
      </c>
      <c r="AH657" s="4" t="str">
        <f>HYPERLINK(CONCATENATE(TabelleURL!$B$1,"346_CAN2com/3475.pdf"), "3475857")</f>
        <v>3475857</v>
      </c>
      <c r="AI657" s="5" t="str">
        <f>HYPERLINK(CONCATENATE(TabelleURL!$B$1,"3499_Taxi/34990049.pdf"), "34990049")</f>
        <v>34990049</v>
      </c>
      <c r="AL657" s="3" t="s">
        <v>7</v>
      </c>
      <c r="AN657" s="2" t="str">
        <f>HYPERLINK(CONCATENATE(TabelleURL!$B$1,"350_RICI_PDC_OBI/3500031 OBI Alfa BMW Fiat Merc Opel VW D_E.pdf"), "3500031")</f>
        <v>3500031</v>
      </c>
      <c r="AP657" s="2" t="str">
        <f>HYPERLINK(CONCATENATE(TabelleURL!$B$1,"367/3674700.pdf"), "3674700")</f>
        <v>3674700</v>
      </c>
    </row>
    <row r="658" spans="1:46">
      <c r="A658" s="1" t="s">
        <v>947</v>
      </c>
      <c r="B658" s="1" t="s">
        <v>966</v>
      </c>
      <c r="C658" s="1" t="s">
        <v>968</v>
      </c>
      <c r="D658" s="1" t="s">
        <v>195</v>
      </c>
      <c r="E658" s="76" t="s">
        <v>924</v>
      </c>
      <c r="G658" s="2" t="str">
        <f>HYPERLINK(CONCATENATE(TabelleURL!$B$1,"342_ADIF/342SK01.pdf"), "342SK01/0/KA, 342SK01/2")</f>
        <v>342SK01/0/KA, 342SK01/2</v>
      </c>
      <c r="M658" s="5" t="str">
        <f>HYPERLINK(CONCATENATE(TabelleURL!$B$1,"345_Signalbox/3450258.pdf"), "3450258")</f>
        <v>3450258</v>
      </c>
      <c r="N658" s="5" t="str">
        <f>HYPERLINK(CONCATENATE(TabelleURL!$B$1,"345_Signalbox/3450258-H.pdf"), "3450258-H")</f>
        <v>3450258-H</v>
      </c>
      <c r="P658" s="5" t="str">
        <f>HYPERLINK(CONCATENATE(TabelleURL!$B$1,"345_Signalbox/3450258-W.pdf"), "3450258-W")</f>
        <v>3450258-W</v>
      </c>
      <c r="R658" s="66" t="s">
        <v>221</v>
      </c>
      <c r="S658" s="67" t="str">
        <f>HYPERLINK(CONCATENATE(TabelleURL!$B$1,"344_URI2/3444756.pdf"), "B-3444756")</f>
        <v>B-3444756</v>
      </c>
      <c r="T658" s="63">
        <v>3474756</v>
      </c>
      <c r="U658" s="5" t="s">
        <v>51</v>
      </c>
      <c r="V658" s="4" t="str">
        <f>HYPERLINK(CONCATENATE(TabelleURL!$B$1,"344_URI2/3444756.pdf"), "B-3444756")</f>
        <v>B-3444756</v>
      </c>
      <c r="W658" s="5"/>
      <c r="X658" s="17"/>
      <c r="Y658" s="8"/>
      <c r="AC658" s="18"/>
      <c r="AF658" s="8" t="str">
        <f>HYPERLINK(CONCATENATE(TabelleURL!$B$1,"340_Helfer/3404700.pdf"), "B-3404700")</f>
        <v>B-3404700</v>
      </c>
      <c r="AG658" s="2" t="str">
        <f>HYPERLINK(CONCATENATE(TabelleURL!$B$1,"340_Helfer/3404701.pdf"), "3404701")</f>
        <v>3404701</v>
      </c>
      <c r="AH658" s="4" t="str">
        <f>HYPERLINK(CONCATENATE(TabelleURL!$B$1,"346_CAN2com/3475.pdf"), "3475857")</f>
        <v>3475857</v>
      </c>
      <c r="AI658" s="5" t="str">
        <f>HYPERLINK(CONCATENATE(TabelleURL!$B$1,"3499_Taxi/34990049.pdf"), "34990049")</f>
        <v>34990049</v>
      </c>
      <c r="AL658" s="3" t="s">
        <v>7</v>
      </c>
      <c r="AN658" s="2" t="str">
        <f>HYPERLINK(CONCATENATE(TabelleURL!$B$1,"350_RICI_PDC_OBI/3500031 OBI Alfa BMW Fiat Merc Opel VW D_E.pdf"), "3500031")</f>
        <v>3500031</v>
      </c>
      <c r="AP658" s="2" t="str">
        <f>HYPERLINK(CONCATENATE(TabelleURL!$B$1,"367/3674700.pdf"), "3674700")</f>
        <v>3674700</v>
      </c>
      <c r="AT658" s="2"/>
    </row>
    <row r="659" spans="1:46">
      <c r="A659" s="1" t="s">
        <v>947</v>
      </c>
      <c r="B659" s="1" t="s">
        <v>966</v>
      </c>
      <c r="C659" s="1" t="s">
        <v>969</v>
      </c>
      <c r="D659" s="1" t="s">
        <v>73</v>
      </c>
      <c r="G659" s="2" t="str">
        <f>HYPERLINK(CONCATENATE(TabelleURL!$B$1,"332_ADIF/332VW05.pdf"), "332VW05KA")</f>
        <v>332VW05KA</v>
      </c>
      <c r="H659" s="2" t="s">
        <v>50</v>
      </c>
      <c r="I659" s="2" t="str">
        <f>HYPERLINK(CONCATENATE(TabelleURL!$B$1,"342_ADIF/342VW05ZI.pdf"), "342VW05/0/ZI")</f>
        <v>342VW05/0/ZI</v>
      </c>
      <c r="M659" s="5" t="str">
        <f>HYPERLINK(CONCATENATE(TabelleURL!$B$1,"345_Signalbox/3450276.pdf"), "3450276")</f>
        <v>3450276</v>
      </c>
      <c r="P659" s="5" t="str">
        <f>HYPERLINK(CONCATENATE(TabelleURL!$B$1,"345_Signalbox/3450276-W.pdf"), "3450276-W")</f>
        <v>3450276-W</v>
      </c>
      <c r="T659" s="63"/>
      <c r="U659" s="5"/>
      <c r="W659" s="5"/>
      <c r="X659" s="17"/>
      <c r="Y659" s="8"/>
      <c r="AC659" s="18"/>
      <c r="AF659" s="8" t="str">
        <f>HYPERLINK(CONCATENATE(TabelleURL!$B$1,"340_Helfer/3404700.pdf"), "B-3404700")</f>
        <v>B-3404700</v>
      </c>
      <c r="AG659" s="2" t="str">
        <f>HYPERLINK(CONCATENATE(TabelleURL!$B$1,"340_Helfer/3404701.pdf"), "3404701")</f>
        <v>3404701</v>
      </c>
      <c r="AH659" s="4" t="str">
        <f>HYPERLINK(CONCATENATE(TabelleURL!$B$1,"346_CAN2com/3475857.pdf"), "3475857")</f>
        <v>3475857</v>
      </c>
      <c r="AI659" s="5" t="str">
        <f>HYPERLINK(CONCATENATE(TabelleURL!$B$1,"3499_Taxi/34990083.pdf"), "34990083")</f>
        <v>34990083</v>
      </c>
      <c r="AP659" s="2" t="str">
        <f>HYPERLINK(CONCATENATE(TabelleURL!$B$1,"367/3674700.pdf"), "3674700")</f>
        <v>3674700</v>
      </c>
      <c r="AT659" s="2" t="str">
        <f>HYPERLINK(CONCATENATE(TabelleURL!$B$1,"340_Helfer/3406857.pdf"), "B-3406857")</f>
        <v>B-3406857</v>
      </c>
    </row>
    <row r="660" spans="1:46">
      <c r="A660" s="1" t="s">
        <v>947</v>
      </c>
      <c r="B660" s="1" t="s">
        <v>970</v>
      </c>
      <c r="C660" s="1" t="s">
        <v>971</v>
      </c>
      <c r="D660" s="1" t="s">
        <v>203</v>
      </c>
      <c r="E660" s="76" t="s">
        <v>924</v>
      </c>
      <c r="G660" s="2" t="str">
        <f>HYPERLINK(CONCATENATE(TabelleURL!$B$1,"342_ADIF/342SK01.pdf"), "342SK01/0/KA, 342SK01/2")</f>
        <v>342SK01/0/KA, 342SK01/2</v>
      </c>
      <c r="M660" s="5" t="str">
        <f>HYPERLINK(CONCATENATE(TabelleURL!$B$1,"345_Signalbox/3450258.pdf"), "3450258")</f>
        <v>3450258</v>
      </c>
      <c r="N660" s="5" t="str">
        <f>HYPERLINK(CONCATENATE(TabelleURL!$B$1,"345_Signalbox/3450258-H.pdf"), "3450258-H")</f>
        <v>3450258-H</v>
      </c>
      <c r="P660" s="5" t="str">
        <f>HYPERLINK(CONCATENATE(TabelleURL!$B$1,"345_Signalbox/3450258-W.pdf"), "3450258-W")</f>
        <v>3450258-W</v>
      </c>
      <c r="R660" s="66" t="s">
        <v>221</v>
      </c>
      <c r="S660" s="67" t="str">
        <f>HYPERLINK(CONCATENATE(TabelleURL!$B$1,"344_URI2/3444756.pdf"), "B-3444756")</f>
        <v>B-3444756</v>
      </c>
      <c r="T660" s="63">
        <v>3474756</v>
      </c>
      <c r="U660" s="5" t="s">
        <v>51</v>
      </c>
      <c r="V660" s="4" t="str">
        <f>HYPERLINK(CONCATENATE(TabelleURL!$B$1,"344_URI2/3444756.pdf"), "B-3444756")</f>
        <v>B-3444756</v>
      </c>
      <c r="W660" s="5"/>
      <c r="X660" s="17"/>
      <c r="Y660" s="8"/>
      <c r="AA660" s="4">
        <v>3670403</v>
      </c>
      <c r="AB660" s="2" t="s">
        <v>55</v>
      </c>
      <c r="AC660" s="18"/>
      <c r="AF660" s="8" t="str">
        <f>HYPERLINK(CONCATENATE(TabelleURL!$B$1,"340_Helfer/3404700.pdf"), "B-3404700")</f>
        <v>B-3404700</v>
      </c>
      <c r="AG660" s="2" t="str">
        <f>HYPERLINK(CONCATENATE(TabelleURL!$B$1,"340_Helfer/3404701.pdf"), "3404701")</f>
        <v>3404701</v>
      </c>
      <c r="AH660" s="4" t="str">
        <f>HYPERLINK(CONCATENATE(TabelleURL!$B$1,"346_CAN2com/3475.pdf"), "3475857")</f>
        <v>3475857</v>
      </c>
      <c r="AI660" s="5" t="str">
        <f>HYPERLINK(CONCATENATE(TabelleURL!$B$1,"3499_Taxi/34990050.pdf"), "34990050")</f>
        <v>34990050</v>
      </c>
      <c r="AP660" s="2" t="str">
        <f>HYPERLINK(CONCATENATE(TabelleURL!$B$1,"367/3674700.pdf"), "3674700")</f>
        <v>3674700</v>
      </c>
      <c r="AT660" s="2"/>
    </row>
    <row r="661" spans="1:46">
      <c r="A661" s="1" t="s">
        <v>947</v>
      </c>
      <c r="B661" s="1" t="s">
        <v>970</v>
      </c>
      <c r="C661" s="1" t="s">
        <v>972</v>
      </c>
      <c r="D661" s="1" t="s">
        <v>104</v>
      </c>
      <c r="G661" s="2" t="str">
        <f>HYPERLINK(CONCATENATE(TabelleURL!$B$1,"342_ADIF/342VW01.pdf"), "342VW01/0/KA")</f>
        <v>342VW01/0/KA</v>
      </c>
      <c r="H661" s="2" t="s">
        <v>50</v>
      </c>
      <c r="I661" s="2" t="str">
        <f>HYPERLINK(CONCATENATE(TabelleURL!$B$1,"332_ADIF/332VW01ZI.pdf"), " 332VW01ZI")</f>
        <v xml:space="preserve"> 332VW01ZI</v>
      </c>
      <c r="M661" s="5" t="str">
        <f>HYPERLINK(CONCATENATE(TabelleURL!$B$1,"345_Signalbox/3450276.pdf"), "3450276")</f>
        <v>3450276</v>
      </c>
      <c r="P661" s="5" t="str">
        <f>HYPERLINK(CONCATENATE(TabelleURL!$B$1,"345_Signalbox/3450276-W.pdf"), "3450276-W")</f>
        <v>3450276-W</v>
      </c>
      <c r="T661" s="63"/>
      <c r="U661" s="5"/>
      <c r="W661" s="5"/>
      <c r="X661" s="17"/>
      <c r="Y661" s="8"/>
      <c r="AC661" s="18"/>
      <c r="AF661" s="8" t="str">
        <f>HYPERLINK(CONCATENATE(TabelleURL!$B$1,"340_Helfer/3404700.pdf"), "B-3404700")</f>
        <v>B-3404700</v>
      </c>
      <c r="AG661" s="2" t="str">
        <f>HYPERLINK(CONCATENATE(TabelleURL!$B$1,"340_Helfer/3404701.pdf"), "3404701")</f>
        <v>3404701</v>
      </c>
      <c r="AH661" s="4" t="str">
        <f>HYPERLINK(CONCATENATE(TabelleURL!$B$1,"346_CAN2com/3475857.pdf"), "3475857")</f>
        <v>3475857</v>
      </c>
      <c r="AI661" s="5" t="str">
        <f>HYPERLINK(CONCATENATE(TabelleURL!$B$1,"3499_Taxi/34990083.pdf"), "34990083")</f>
        <v>34990083</v>
      </c>
      <c r="AP661" s="2" t="str">
        <f>HYPERLINK(CONCATENATE(TabelleURL!$B$1,"367/3674700.pdf"), "3674700")</f>
        <v>3674700</v>
      </c>
      <c r="AR661" s="3" t="s">
        <v>929</v>
      </c>
      <c r="AS661" s="83" t="str">
        <f>HYPERLINK(CONCATENATE(TabelleURL!$B$1,"339_MWS/B-339VW01.pdf"), "B-339VW01")</f>
        <v>B-339VW01</v>
      </c>
      <c r="AT661" s="2" t="str">
        <f>HYPERLINK(CONCATENATE(TabelleURL!$B$1,"340_Helfer/3406857.pdf"), "B-3406857")</f>
        <v>B-3406857</v>
      </c>
    </row>
    <row r="662" spans="1:46">
      <c r="A662" s="1" t="s">
        <v>973</v>
      </c>
      <c r="B662" s="1" t="s">
        <v>974</v>
      </c>
      <c r="C662" s="1" t="s">
        <v>975</v>
      </c>
      <c r="D662" s="1" t="s">
        <v>795</v>
      </c>
      <c r="G662" s="2" t="str">
        <f>HYPERLINK(CONCATENATE(TabelleURL!$B$1,"332_ADIF/332SM01.pdf"), "332SM01")</f>
        <v>332SM01</v>
      </c>
      <c r="T662" s="63"/>
      <c r="U662" s="5"/>
      <c r="W662" s="5"/>
      <c r="X662" s="17"/>
      <c r="Y662" s="8"/>
      <c r="AC662" s="18"/>
    </row>
    <row r="663" spans="1:46">
      <c r="A663" s="1" t="s">
        <v>973</v>
      </c>
      <c r="B663" s="1" t="s">
        <v>974</v>
      </c>
      <c r="C663" s="1" t="s">
        <v>976</v>
      </c>
      <c r="D663" s="1" t="s">
        <v>116</v>
      </c>
      <c r="G663" s="2" t="str">
        <f>HYPERLINK(CONCATENATE(TabelleURL!$B$1,"332_ADIF/332RE03.pdf"), "332RE03")</f>
        <v>332RE03</v>
      </c>
      <c r="M663" s="5" t="str">
        <f>HYPERLINK(CONCATENATE(TabelleURL!$B$1,"345_Signalbox/3450271.pdf"), "3450271")</f>
        <v>3450271</v>
      </c>
      <c r="T663" s="63"/>
      <c r="U663" s="5"/>
      <c r="W663" s="5"/>
      <c r="X663" s="17"/>
      <c r="Y663" s="8"/>
      <c r="AC663" s="18"/>
    </row>
    <row r="664" spans="1:46">
      <c r="A664" s="1" t="s">
        <v>973</v>
      </c>
      <c r="B664" s="1" t="s">
        <v>977</v>
      </c>
      <c r="C664" s="1" t="s">
        <v>978</v>
      </c>
      <c r="D664" s="1" t="s">
        <v>951</v>
      </c>
      <c r="G664" s="2" t="str">
        <f>HYPERLINK(CONCATENATE(TabelleURL!$B$1,"332_ADIF/332SM01.pdf"), "332SM01")</f>
        <v>332SM01</v>
      </c>
      <c r="T664" s="63"/>
      <c r="U664" s="5"/>
      <c r="W664" s="5"/>
      <c r="X664" s="17"/>
      <c r="Y664" s="8"/>
      <c r="AC664" s="18"/>
    </row>
    <row r="665" spans="1:46">
      <c r="A665" s="1" t="s">
        <v>973</v>
      </c>
      <c r="B665" s="1" t="s">
        <v>977</v>
      </c>
      <c r="C665" s="1" t="s">
        <v>979</v>
      </c>
      <c r="D665" s="1" t="s">
        <v>251</v>
      </c>
      <c r="G665" s="2" t="str">
        <f>HYPERLINK(CONCATENATE(TabelleURL!$B$1,"332_ADIF/332SM01.pdf"), "332SM01")</f>
        <v>332SM01</v>
      </c>
      <c r="T665" s="63"/>
      <c r="U665" s="5"/>
      <c r="W665" s="5"/>
      <c r="X665" s="17"/>
      <c r="Y665" s="8"/>
      <c r="AC665" s="18"/>
    </row>
    <row r="666" spans="1:46">
      <c r="A666" s="1" t="s">
        <v>980</v>
      </c>
      <c r="B666" s="1" t="s">
        <v>977</v>
      </c>
      <c r="C666" s="1" t="s">
        <v>976</v>
      </c>
      <c r="D666" s="1" t="s">
        <v>116</v>
      </c>
      <c r="G666" s="2" t="str">
        <f>HYPERLINK(CONCATENATE(TabelleURL!$B$1,"332_ADIF/332RE03.pdf"), "332RE03")</f>
        <v>332RE03</v>
      </c>
      <c r="M666" s="5" t="str">
        <f>HYPERLINK(CONCATENATE(TabelleURL!$B$1,"345_Signalbox/3450271.pdf"), "3450271")</f>
        <v>3450271</v>
      </c>
      <c r="T666" s="63"/>
      <c r="U666" s="5"/>
      <c r="W666" s="5"/>
      <c r="X666" s="17"/>
      <c r="Y666" s="8"/>
      <c r="AC666" s="18"/>
    </row>
    <row r="667" spans="1:46">
      <c r="A667" s="1" t="s">
        <v>981</v>
      </c>
      <c r="B667" s="1" t="s">
        <v>982</v>
      </c>
      <c r="C667" s="1" t="s">
        <v>409</v>
      </c>
      <c r="D667" s="1" t="s">
        <v>8</v>
      </c>
      <c r="R667" s="66" t="s">
        <v>45</v>
      </c>
      <c r="S667" s="67" t="s">
        <v>983</v>
      </c>
      <c r="T667" s="63"/>
      <c r="U667" s="5"/>
      <c r="W667" s="5" t="s">
        <v>983</v>
      </c>
      <c r="X667" s="17"/>
      <c r="Y667" s="8"/>
      <c r="AC667" s="18"/>
    </row>
    <row r="668" spans="1:46">
      <c r="A668" s="1" t="s">
        <v>981</v>
      </c>
      <c r="B668" s="1" t="s">
        <v>984</v>
      </c>
      <c r="C668" s="1" t="s">
        <v>985</v>
      </c>
      <c r="D668" s="1" t="s">
        <v>27</v>
      </c>
      <c r="T668" s="63"/>
      <c r="U668" s="5"/>
      <c r="W668" s="5"/>
      <c r="X668" s="17"/>
      <c r="Y668" s="8"/>
      <c r="AC668" s="18"/>
    </row>
    <row r="669" spans="1:46">
      <c r="A669" s="1" t="s">
        <v>981</v>
      </c>
      <c r="B669" s="1" t="s">
        <v>986</v>
      </c>
      <c r="C669" s="1" t="s">
        <v>409</v>
      </c>
      <c r="D669" s="1" t="s">
        <v>119</v>
      </c>
      <c r="R669" s="66" t="s">
        <v>45</v>
      </c>
      <c r="S669" s="67" t="s">
        <v>983</v>
      </c>
      <c r="T669" s="63"/>
      <c r="U669" s="5"/>
      <c r="W669" s="5" t="s">
        <v>983</v>
      </c>
      <c r="X669" s="17"/>
      <c r="Y669" s="8"/>
      <c r="AC669" s="18"/>
    </row>
    <row r="670" spans="1:46">
      <c r="A670" s="1" t="s">
        <v>981</v>
      </c>
      <c r="B670" s="1" t="s">
        <v>987</v>
      </c>
      <c r="C670" s="1" t="s">
        <v>409</v>
      </c>
      <c r="D670" s="1" t="s">
        <v>112</v>
      </c>
      <c r="R670" s="66" t="s">
        <v>45</v>
      </c>
      <c r="S670" s="67" t="s">
        <v>983</v>
      </c>
      <c r="T670" s="63"/>
      <c r="U670" s="5"/>
      <c r="W670" s="5" t="s">
        <v>983</v>
      </c>
      <c r="X670" s="17"/>
      <c r="Y670" s="8"/>
      <c r="AC670" s="18"/>
    </row>
    <row r="671" spans="1:46">
      <c r="A671" s="1" t="s">
        <v>981</v>
      </c>
      <c r="B671" s="1" t="s">
        <v>987</v>
      </c>
      <c r="C671" s="1" t="s">
        <v>225</v>
      </c>
      <c r="D671" s="1" t="s">
        <v>436</v>
      </c>
      <c r="G671" s="2" t="str">
        <f>HYPERLINK(CONCATENATE(TabelleURL!$B$1,"342_ADIF/342SY01.pdf"), "342SY01/0")</f>
        <v>342SY01/0</v>
      </c>
      <c r="R671" s="66" t="s">
        <v>45</v>
      </c>
      <c r="S671" s="67" t="s">
        <v>983</v>
      </c>
      <c r="T671" s="63">
        <v>347003</v>
      </c>
      <c r="U671" s="5" t="s">
        <v>988</v>
      </c>
      <c r="W671" s="5" t="s">
        <v>983</v>
      </c>
      <c r="X671" s="17"/>
      <c r="Y671" s="8"/>
      <c r="AA671" s="4">
        <v>3610099</v>
      </c>
      <c r="AC671" s="18"/>
    </row>
    <row r="672" spans="1:46">
      <c r="A672" s="1" t="s">
        <v>981</v>
      </c>
      <c r="B672" s="1" t="s">
        <v>989</v>
      </c>
      <c r="C672" s="1" t="s">
        <v>409</v>
      </c>
      <c r="D672" s="1" t="s">
        <v>990</v>
      </c>
      <c r="R672" s="66" t="s">
        <v>45</v>
      </c>
      <c r="S672" s="67" t="s">
        <v>983</v>
      </c>
      <c r="T672" s="63"/>
      <c r="U672" s="5"/>
      <c r="W672" s="5" t="s">
        <v>983</v>
      </c>
      <c r="X672" s="17"/>
      <c r="Y672" s="8"/>
      <c r="AC672" s="18"/>
    </row>
    <row r="673" spans="1:31">
      <c r="A673" s="1" t="s">
        <v>991</v>
      </c>
      <c r="B673" s="1" t="s">
        <v>992</v>
      </c>
      <c r="C673" s="1" t="s">
        <v>993</v>
      </c>
      <c r="D673" s="1" t="s">
        <v>424</v>
      </c>
      <c r="T673" s="63"/>
      <c r="U673" s="5"/>
      <c r="W673" s="5"/>
      <c r="X673" s="17"/>
      <c r="Y673" s="8"/>
      <c r="AC673" s="18"/>
    </row>
    <row r="674" spans="1:31">
      <c r="A674" s="1" t="s">
        <v>991</v>
      </c>
      <c r="B674" s="1" t="s">
        <v>992</v>
      </c>
      <c r="C674" s="1" t="s">
        <v>993</v>
      </c>
      <c r="D674" s="1" t="s">
        <v>462</v>
      </c>
      <c r="M674" s="5" t="str">
        <f>HYPERLINK(CONCATENATE(TabelleURL!$B$1,"345_Signalbox/3450269.pdf"), "3450269")</f>
        <v>3450269</v>
      </c>
      <c r="R674" s="66" t="s">
        <v>11</v>
      </c>
      <c r="S674" s="67" t="str">
        <f>HYPERLINK(CONCATENATE(TabelleURL!$B$1,"341_RC_Interface/3414719.pdf"), "B-3414719")</f>
        <v>B-3414719</v>
      </c>
      <c r="T674" s="63">
        <v>3474719</v>
      </c>
      <c r="U674" s="5" t="s">
        <v>994</v>
      </c>
      <c r="W674" s="5" t="s">
        <v>995</v>
      </c>
      <c r="X674" s="17"/>
      <c r="Y674" s="8"/>
      <c r="AC674" s="18"/>
      <c r="AE674" s="2" t="str">
        <f>HYPERLINK(CONCATENATE(TabelleURL!$B$1,"340_Helfer/3404719-RVC.pdf"), "3404719-RVC")</f>
        <v>3404719-RVC</v>
      </c>
    </row>
    <row r="675" spans="1:31">
      <c r="A675" s="1" t="s">
        <v>991</v>
      </c>
      <c r="B675" s="1" t="s">
        <v>992</v>
      </c>
      <c r="C675" s="1" t="s">
        <v>996</v>
      </c>
      <c r="D675" s="1" t="s">
        <v>405</v>
      </c>
      <c r="M675" s="5" t="str">
        <f>HYPERLINK(CONCATENATE(TabelleURL!$B$1,"345_Signalbox/3450269.pdf"), "3450269")</f>
        <v>3450269</v>
      </c>
      <c r="T675" s="63"/>
      <c r="U675" s="5"/>
      <c r="W675" s="5"/>
      <c r="X675" s="17"/>
      <c r="Y675" s="8"/>
      <c r="AC675" s="18"/>
    </row>
    <row r="676" spans="1:31">
      <c r="A676" s="1" t="s">
        <v>991</v>
      </c>
      <c r="B676" s="1" t="s">
        <v>992</v>
      </c>
      <c r="D676" s="1" t="s">
        <v>25</v>
      </c>
      <c r="R676" s="66" t="s">
        <v>11</v>
      </c>
      <c r="S676" s="67" t="str">
        <f>HYPERLINK(CONCATENATE(TabelleURL!$B$1,"341_RC_Interface/3414716.pdf"), "B-3414716")</f>
        <v>B-3414716</v>
      </c>
      <c r="T676" s="63"/>
      <c r="U676" s="5"/>
      <c r="W676" s="2" t="str">
        <f>HYPERLINK(CONCATENATE(TabelleURL!$B$1,"341_RC_Interface/3414716.pdf"), "B-3414716")</f>
        <v>B-3414716</v>
      </c>
      <c r="X676" s="17"/>
      <c r="Y676" s="8"/>
      <c r="AB676" s="2" t="s">
        <v>997</v>
      </c>
      <c r="AC676" s="18"/>
    </row>
    <row r="677" spans="1:31">
      <c r="A677" s="1" t="s">
        <v>991</v>
      </c>
      <c r="B677" s="1" t="s">
        <v>998</v>
      </c>
      <c r="C677" s="1" t="s">
        <v>999</v>
      </c>
      <c r="D677" s="1" t="s">
        <v>298</v>
      </c>
      <c r="T677" s="63"/>
      <c r="U677" s="5"/>
      <c r="W677" s="5"/>
      <c r="X677" s="17"/>
      <c r="Y677" s="8"/>
      <c r="AC677" s="18"/>
    </row>
    <row r="678" spans="1:31">
      <c r="A678" s="1" t="s">
        <v>991</v>
      </c>
      <c r="B678" s="1" t="s">
        <v>998</v>
      </c>
      <c r="C678" s="1" t="s">
        <v>305</v>
      </c>
      <c r="D678" s="1" t="s">
        <v>1000</v>
      </c>
      <c r="M678" s="5" t="str">
        <f>HYPERLINK(CONCATENATE(TabelleURL!$B$1,"345_Signalbox/3450269.pdf"), "3450269")</f>
        <v>3450269</v>
      </c>
      <c r="R678" s="66" t="s">
        <v>11</v>
      </c>
      <c r="S678" s="67" t="str">
        <f>HYPERLINK(CONCATENATE(TabelleURL!$B$1,"341_RC_Interface/3414719.pdf"), "B-3414719")</f>
        <v>B-3414719</v>
      </c>
      <c r="T678" s="63">
        <v>3474719</v>
      </c>
      <c r="U678" s="5" t="s">
        <v>994</v>
      </c>
      <c r="W678" s="5" t="s">
        <v>995</v>
      </c>
      <c r="X678" s="17"/>
      <c r="Y678" s="8"/>
      <c r="AC678" s="18"/>
      <c r="AE678" s="2" t="str">
        <f>HYPERLINK(CONCATENATE(TabelleURL!$B$1,"340_Helfer/3404719-RVC.pdf"), "3404719-RVC")</f>
        <v>3404719-RVC</v>
      </c>
    </row>
    <row r="679" spans="1:31">
      <c r="A679" s="1" t="s">
        <v>991</v>
      </c>
      <c r="B679" s="1" t="s">
        <v>998</v>
      </c>
      <c r="C679" s="1" t="s">
        <v>1001</v>
      </c>
      <c r="D679" s="1" t="s">
        <v>25</v>
      </c>
      <c r="T679" s="63"/>
      <c r="U679" s="5"/>
      <c r="W679" s="5"/>
      <c r="X679" s="17"/>
      <c r="Y679" s="8"/>
      <c r="AB679" s="2" t="s">
        <v>997</v>
      </c>
      <c r="AC679" s="18"/>
    </row>
    <row r="680" spans="1:31">
      <c r="A680" s="1" t="s">
        <v>991</v>
      </c>
      <c r="B680" s="1" t="s">
        <v>1002</v>
      </c>
      <c r="C680" s="1" t="s">
        <v>1003</v>
      </c>
      <c r="D680" s="1" t="s">
        <v>349</v>
      </c>
      <c r="M680" s="5" t="str">
        <f>HYPERLINK(CONCATENATE(TabelleURL!$B$1,"345_Signalbox/3450269.pdf"), "3450269")</f>
        <v>3450269</v>
      </c>
      <c r="T680" s="63"/>
      <c r="U680" s="5"/>
      <c r="W680" s="5"/>
      <c r="X680" s="17"/>
      <c r="Y680" s="8"/>
      <c r="AC680" s="18"/>
    </row>
    <row r="681" spans="1:31">
      <c r="A681" s="1" t="s">
        <v>991</v>
      </c>
      <c r="B681" s="1" t="s">
        <v>1002</v>
      </c>
      <c r="C681" s="1" t="s">
        <v>227</v>
      </c>
      <c r="D681" s="1" t="s">
        <v>245</v>
      </c>
      <c r="E681" s="76" t="s">
        <v>1004</v>
      </c>
      <c r="R681" s="66" t="s">
        <v>11</v>
      </c>
      <c r="S681" s="67" t="str">
        <f>HYPERLINK(CONCATENATE(TabelleURL!$B$1,"341_RC_Interface/3414717.pdf"), "B-3414717")</f>
        <v>B-3414717</v>
      </c>
      <c r="T681" s="63"/>
      <c r="U681" s="5"/>
      <c r="W681" s="5" t="s">
        <v>1005</v>
      </c>
      <c r="X681" s="17"/>
      <c r="Y681" s="8"/>
      <c r="AC681" s="18"/>
      <c r="AE681" s="2" t="str">
        <f>HYPERLINK(CONCATENATE(TabelleURL!$B$1,"340_Helfer/3404719-RVC.pdf"), "3404719-RVC")</f>
        <v>3404719-RVC</v>
      </c>
    </row>
    <row r="682" spans="1:31" ht="45">
      <c r="A682" s="1" t="s">
        <v>991</v>
      </c>
      <c r="B682" s="1" t="s">
        <v>1002</v>
      </c>
      <c r="C682" s="1" t="s">
        <v>227</v>
      </c>
      <c r="D682" s="1" t="s">
        <v>1006</v>
      </c>
      <c r="E682" s="76" t="s">
        <v>1007</v>
      </c>
      <c r="F682" s="70" t="s">
        <v>1008</v>
      </c>
      <c r="R682" s="66" t="s">
        <v>11</v>
      </c>
      <c r="S682" s="67" t="str">
        <f>HYPERLINK(CONCATENATE(TabelleURL!$B$1,"341_RC_Interface/3414717.pdf"), "B-3414717")</f>
        <v>B-3414717</v>
      </c>
      <c r="T682" s="63"/>
      <c r="U682" s="5"/>
      <c r="W682" s="5" t="s">
        <v>1005</v>
      </c>
      <c r="X682" s="17"/>
      <c r="Y682" s="8"/>
      <c r="AC682" s="18"/>
      <c r="AE682" s="2" t="str">
        <f>HYPERLINK(CONCATENATE(TabelleURL!$B$1,"340_Helfer/3404719-RVC.pdf"), "3404719-RVC")</f>
        <v>3404719-RVC</v>
      </c>
    </row>
    <row r="683" spans="1:31">
      <c r="A683" s="1" t="s">
        <v>991</v>
      </c>
      <c r="B683" s="1" t="s">
        <v>1002</v>
      </c>
      <c r="C683" s="1" t="s">
        <v>1009</v>
      </c>
      <c r="D683" s="1" t="s">
        <v>73</v>
      </c>
      <c r="R683" s="66" t="s">
        <v>11</v>
      </c>
      <c r="S683" s="67" t="str">
        <f>HYPERLINK(CONCATENATE(TabelleURL!$B$1,"341_RC_Interface/3414716.pdf"), "B-3414716")</f>
        <v>B-3414716</v>
      </c>
      <c r="T683" s="63"/>
      <c r="U683" s="5"/>
      <c r="W683" s="2" t="str">
        <f>HYPERLINK(CONCATENATE(TabelleURL!$B$1,"341_RC_Interface/3414716.pdf"), "B-3414716")</f>
        <v>B-3414716</v>
      </c>
      <c r="X683" s="17"/>
      <c r="Y683" s="8"/>
      <c r="AB683" s="27">
        <v>3720410301</v>
      </c>
      <c r="AC683" s="18"/>
    </row>
    <row r="684" spans="1:31">
      <c r="A684" s="1" t="s">
        <v>991</v>
      </c>
      <c r="B684" s="1" t="s">
        <v>1010</v>
      </c>
      <c r="C684" s="1" t="s">
        <v>305</v>
      </c>
      <c r="D684" s="1" t="s">
        <v>349</v>
      </c>
      <c r="M684" s="5" t="str">
        <f>HYPERLINK(CONCATENATE(TabelleURL!$B$1,"345_Signalbox/3450269.pdf"), "3450269")</f>
        <v>3450269</v>
      </c>
      <c r="T684" s="63"/>
      <c r="U684" s="5"/>
      <c r="W684" s="5"/>
      <c r="X684" s="17"/>
      <c r="Y684" s="8"/>
      <c r="AC684" s="18"/>
    </row>
    <row r="685" spans="1:31">
      <c r="A685" s="1" t="s">
        <v>991</v>
      </c>
      <c r="B685" s="1" t="s">
        <v>1010</v>
      </c>
      <c r="D685" s="1" t="s">
        <v>280</v>
      </c>
      <c r="R685" s="66" t="s">
        <v>11</v>
      </c>
      <c r="S685" s="67" t="str">
        <f>HYPERLINK(CONCATENATE(TabelleURL!$B$1,"341_RC_Interface/3414717.pdf"), "B-3414717")</f>
        <v>B-3414717</v>
      </c>
      <c r="T685" s="63"/>
      <c r="U685" s="5"/>
      <c r="W685" s="5" t="s">
        <v>1005</v>
      </c>
      <c r="X685" s="17"/>
      <c r="Y685" s="8"/>
      <c r="AC685" s="18"/>
      <c r="AE685" s="2" t="str">
        <f>HYPERLINK(CONCATENATE(TabelleURL!$B$1,"340_Helfer/3404719-RVC.pdf"), "3404719-RVC")</f>
        <v>3404719-RVC</v>
      </c>
    </row>
    <row r="686" spans="1:31">
      <c r="A686" s="1" t="s">
        <v>991</v>
      </c>
      <c r="B686" s="1" t="s">
        <v>1010</v>
      </c>
      <c r="C686" s="1" t="s">
        <v>227</v>
      </c>
      <c r="D686" s="1" t="s">
        <v>73</v>
      </c>
      <c r="R686" s="66" t="s">
        <v>11</v>
      </c>
      <c r="S686" s="67" t="str">
        <f>HYPERLINK(CONCATENATE(TabelleURL!$B$1,"341_RC_Interface/3414716.pdf"), "B-3414716")</f>
        <v>B-3414716</v>
      </c>
      <c r="T686" s="63"/>
      <c r="U686" s="5"/>
      <c r="W686" s="2" t="str">
        <f>HYPERLINK(CONCATENATE(TabelleURL!$B$1,"341_RC_Interface/3414716.pdf"), "B-3414716")</f>
        <v>B-3414716</v>
      </c>
      <c r="X686" s="17"/>
      <c r="Y686" s="8"/>
      <c r="AB686" s="2" t="s">
        <v>997</v>
      </c>
      <c r="AC686" s="18"/>
    </row>
    <row r="687" spans="1:31">
      <c r="A687" s="1" t="s">
        <v>991</v>
      </c>
      <c r="B687" s="1" t="s">
        <v>1011</v>
      </c>
      <c r="D687" s="1" t="s">
        <v>1000</v>
      </c>
      <c r="T687" s="63"/>
      <c r="U687" s="5"/>
      <c r="W687" s="5" t="s">
        <v>1012</v>
      </c>
      <c r="X687" s="17"/>
      <c r="Y687" s="8"/>
      <c r="AC687" s="18"/>
    </row>
    <row r="688" spans="1:31">
      <c r="A688" s="1" t="s">
        <v>991</v>
      </c>
      <c r="B688" s="1" t="s">
        <v>1011</v>
      </c>
      <c r="D688" s="1" t="s">
        <v>25</v>
      </c>
      <c r="T688" s="63"/>
      <c r="U688" s="5"/>
      <c r="W688" s="5"/>
      <c r="X688" s="17"/>
      <c r="Y688" s="8"/>
      <c r="AB688" s="2" t="s">
        <v>997</v>
      </c>
      <c r="AC688" s="18"/>
    </row>
    <row r="689" spans="1:35">
      <c r="A689" s="1" t="s">
        <v>1013</v>
      </c>
      <c r="B689" s="1" t="s">
        <v>1014</v>
      </c>
      <c r="C689" s="1" t="s">
        <v>1015</v>
      </c>
      <c r="D689" s="1" t="s">
        <v>213</v>
      </c>
      <c r="G689" s="2" t="str">
        <f>HYPERLINK(CONCATENATE(TabelleURL!$B$1,"332_ADIF/332SZ01.pdf"), "332SZ01")</f>
        <v>332SZ01</v>
      </c>
      <c r="R689" s="66" t="s">
        <v>11</v>
      </c>
      <c r="S689" s="67" t="str">
        <f>HYPERLINK(CONCATENATE(TabelleURL!$B$1,"341_RC_Interface/3414786.pdf"), "B-3414786")</f>
        <v>B-3414786</v>
      </c>
      <c r="T689" s="63">
        <v>3474787</v>
      </c>
      <c r="U689" s="5" t="s">
        <v>355</v>
      </c>
      <c r="W689" s="5" t="s">
        <v>356</v>
      </c>
      <c r="X689" s="17"/>
      <c r="Y689" s="8"/>
      <c r="AC689" s="18"/>
    </row>
    <row r="690" spans="1:35">
      <c r="A690" s="1" t="s">
        <v>1013</v>
      </c>
      <c r="B690" s="1" t="s">
        <v>1016</v>
      </c>
      <c r="D690" s="1" t="s">
        <v>213</v>
      </c>
      <c r="G690" s="2" t="str">
        <f>HYPERLINK(CONCATENATE(TabelleURL!$B$1,"332_ADIF/332SZ01.pdf"), "332SZ01")</f>
        <v>332SZ01</v>
      </c>
      <c r="R690" s="66" t="s">
        <v>11</v>
      </c>
      <c r="S690" s="67" t="str">
        <f>HYPERLINK(CONCATENATE(TabelleURL!$B$1,"341_RC_Interface/3414786.pdf"), "B-3414786")</f>
        <v>B-3414786</v>
      </c>
      <c r="T690" s="63">
        <v>3474787</v>
      </c>
      <c r="U690" s="5" t="s">
        <v>355</v>
      </c>
      <c r="W690" s="5" t="s">
        <v>356</v>
      </c>
      <c r="X690" s="17"/>
      <c r="Y690" s="8"/>
      <c r="AC690" s="18"/>
    </row>
    <row r="691" spans="1:35">
      <c r="A691" s="1" t="s">
        <v>1013</v>
      </c>
      <c r="B691" s="1" t="s">
        <v>1016</v>
      </c>
      <c r="D691" s="1" t="s">
        <v>213</v>
      </c>
      <c r="E691" s="76" t="s">
        <v>1017</v>
      </c>
      <c r="G691" s="2" t="str">
        <f>HYPERLINK(CONCATENATE(TabelleURL!$B$1,"332_ADIF/332SZ01.pdf"), "332SZ01")</f>
        <v>332SZ01</v>
      </c>
      <c r="R691" s="66" t="s">
        <v>11</v>
      </c>
      <c r="S691" s="67" t="str">
        <f>HYPERLINK(CONCATENATE(TabelleURL!$B$1,"341_RC_Interface/3414786.pdf"), "B-3414786")</f>
        <v>B-3414786</v>
      </c>
      <c r="T691" s="63">
        <v>3474787</v>
      </c>
      <c r="U691" s="5" t="s">
        <v>1018</v>
      </c>
      <c r="W691" s="5" t="s">
        <v>356</v>
      </c>
      <c r="X691" s="17"/>
      <c r="Y691" s="8"/>
      <c r="AC691" s="18"/>
    </row>
    <row r="692" spans="1:35">
      <c r="A692" s="1" t="s">
        <v>1013</v>
      </c>
      <c r="B692" s="1" t="s">
        <v>1019</v>
      </c>
      <c r="D692" s="1" t="s">
        <v>29</v>
      </c>
      <c r="G692" s="2" t="str">
        <f>HYPERLINK(CONCATENATE(TabelleURL!$B$1,"332_ADIF/332SZ01.pdf"), "332SZ01")</f>
        <v>332SZ01</v>
      </c>
      <c r="R692" s="66" t="s">
        <v>11</v>
      </c>
      <c r="S692" s="67" t="str">
        <f>HYPERLINK(CONCATENATE(TabelleURL!$B$1,"341_RC_Interface/3414786.pdf"), "B-3414786")</f>
        <v>B-3414786</v>
      </c>
      <c r="T692" s="63">
        <v>3474787</v>
      </c>
      <c r="U692" s="5" t="s">
        <v>355</v>
      </c>
      <c r="W692" s="5" t="s">
        <v>356</v>
      </c>
      <c r="X692" s="17"/>
      <c r="Y692" s="8"/>
      <c r="AC692" s="18"/>
    </row>
    <row r="693" spans="1:35">
      <c r="A693" s="1" t="s">
        <v>1013</v>
      </c>
      <c r="B693" s="1" t="s">
        <v>1020</v>
      </c>
      <c r="C693" s="1" t="s">
        <v>1021</v>
      </c>
      <c r="D693" s="1" t="s">
        <v>21</v>
      </c>
      <c r="G693" s="2" t="str">
        <f>HYPERLINK(CONCATENATE(TabelleURL!$B$1,"332_ADIF/332SZ01.pdf"), "332SZ01")</f>
        <v>332SZ01</v>
      </c>
      <c r="R693" s="66" t="s">
        <v>11</v>
      </c>
      <c r="S693" s="67" t="str">
        <f>HYPERLINK(CONCATENATE(TabelleURL!$B$1,"341_RC_Interface/3414786.pdf"), "B-3414786")</f>
        <v>B-3414786</v>
      </c>
      <c r="T693" s="63">
        <v>3474787</v>
      </c>
      <c r="U693" s="5" t="s">
        <v>355</v>
      </c>
      <c r="W693" s="5" t="s">
        <v>356</v>
      </c>
      <c r="X693" s="17"/>
      <c r="Y693" s="8"/>
      <c r="AC693" s="18"/>
    </row>
    <row r="694" spans="1:35">
      <c r="A694" s="1" t="s">
        <v>1013</v>
      </c>
      <c r="B694" s="1" t="s">
        <v>1020</v>
      </c>
      <c r="C694" s="1" t="s">
        <v>1022</v>
      </c>
      <c r="D694" s="1" t="s">
        <v>27</v>
      </c>
      <c r="G694" s="2" t="str">
        <f>HYPERLINK(CONCATENATE(TabelleURL!$B$1,"332_ADIF/332SZ01.pdf"), "332SZ01")</f>
        <v>332SZ01</v>
      </c>
      <c r="R694" s="66" t="s">
        <v>11</v>
      </c>
      <c r="S694" s="67" t="str">
        <f>HYPERLINK(CONCATENATE(TabelleURL!$B$1,"341_RC_Interface/3414786.pdf"), "B-3414786")</f>
        <v>B-3414786</v>
      </c>
      <c r="T694" s="63">
        <v>3474787</v>
      </c>
      <c r="U694" s="5" t="s">
        <v>355</v>
      </c>
      <c r="W694" s="5" t="s">
        <v>356</v>
      </c>
      <c r="X694" s="17"/>
      <c r="Y694" s="8"/>
      <c r="AC694" s="18"/>
    </row>
    <row r="695" spans="1:35">
      <c r="A695" s="1" t="s">
        <v>1013</v>
      </c>
      <c r="B695" s="1" t="s">
        <v>1020</v>
      </c>
      <c r="C695" s="1" t="s">
        <v>1022</v>
      </c>
      <c r="D695" s="1" t="s">
        <v>27</v>
      </c>
      <c r="E695" s="76" t="s">
        <v>1017</v>
      </c>
      <c r="G695" s="2" t="str">
        <f>HYPERLINK(CONCATENATE(TabelleURL!$B$1,"332_ADIF/332SZ01.pdf"), "332SZ01")</f>
        <v>332SZ01</v>
      </c>
      <c r="R695" s="66" t="s">
        <v>11</v>
      </c>
      <c r="S695" s="67" t="str">
        <f>HYPERLINK(CONCATENATE(TabelleURL!$B$1,"341_RC_Interface/3414786.pdf"), "B-3414786")</f>
        <v>B-3414786</v>
      </c>
      <c r="T695" s="63">
        <v>3474787</v>
      </c>
      <c r="U695" s="5" t="s">
        <v>1018</v>
      </c>
      <c r="W695" s="5" t="s">
        <v>356</v>
      </c>
      <c r="X695" s="17"/>
      <c r="Y695" s="8"/>
      <c r="AC695" s="18"/>
    </row>
    <row r="696" spans="1:35">
      <c r="A696" s="1" t="s">
        <v>1013</v>
      </c>
      <c r="B696" s="1" t="s">
        <v>1023</v>
      </c>
      <c r="D696" s="1" t="s">
        <v>114</v>
      </c>
      <c r="G696" s="2" t="str">
        <f>HYPERLINK(CONCATENATE(TabelleURL!$B$1,"332_ADIF/332SZ01.pdf"), "332SZ01")</f>
        <v>332SZ01</v>
      </c>
      <c r="R696" s="66" t="s">
        <v>11</v>
      </c>
      <c r="S696" s="67" t="str">
        <f>HYPERLINK(CONCATENATE(TabelleURL!$B$1,"341_RC_Interface/3414786.pdf"), "B-3414786")</f>
        <v>B-3414786</v>
      </c>
      <c r="T696" s="63">
        <v>3474787</v>
      </c>
      <c r="U696" s="5" t="s">
        <v>355</v>
      </c>
      <c r="W696" s="5" t="s">
        <v>356</v>
      </c>
      <c r="X696" s="17"/>
      <c r="Y696" s="8"/>
      <c r="AC696" s="18"/>
    </row>
    <row r="697" spans="1:35">
      <c r="A697" s="1" t="s">
        <v>1013</v>
      </c>
      <c r="B697" s="1" t="s">
        <v>1024</v>
      </c>
      <c r="C697" s="1" t="s">
        <v>225</v>
      </c>
      <c r="D697" s="1" t="s">
        <v>119</v>
      </c>
      <c r="G697" s="2" t="str">
        <f>HYPERLINK(CONCATENATE(TabelleURL!$B$1,"332_ADIF/332SZ01.pdf"), "332SZ01")</f>
        <v>332SZ01</v>
      </c>
      <c r="R697" s="66" t="s">
        <v>11</v>
      </c>
      <c r="S697" s="67" t="str">
        <f>HYPERLINK(CONCATENATE(TabelleURL!$B$1,"341_RC_Interface/3414786.pdf"), "B-3414786")</f>
        <v>B-3414786</v>
      </c>
      <c r="T697" s="63">
        <v>3474787</v>
      </c>
      <c r="U697" s="5" t="s">
        <v>355</v>
      </c>
      <c r="W697" s="5" t="s">
        <v>356</v>
      </c>
      <c r="X697" s="17"/>
      <c r="Y697" s="8"/>
      <c r="AC697" s="18"/>
    </row>
    <row r="698" spans="1:35" ht="33.75">
      <c r="A698" s="1" t="s">
        <v>1025</v>
      </c>
      <c r="B698" s="1" t="s">
        <v>1026</v>
      </c>
      <c r="D698" s="1" t="s">
        <v>1438</v>
      </c>
      <c r="F698" s="70" t="s">
        <v>1027</v>
      </c>
      <c r="G698" s="2" t="str">
        <f>HYPERLINK(CONCATENATE(TabelleURL!$B$1,"342_ADIF/342TE01.pdf"), "342TE01/0/KA")</f>
        <v>342TE01/0/KA</v>
      </c>
      <c r="T698" s="63"/>
      <c r="U698" s="5"/>
      <c r="W698" s="5"/>
      <c r="X698" s="17"/>
      <c r="Y698" s="8"/>
      <c r="AC698" s="18"/>
    </row>
    <row r="699" spans="1:35">
      <c r="A699" s="1" t="s">
        <v>1025</v>
      </c>
      <c r="B699" s="1" t="s">
        <v>1026</v>
      </c>
      <c r="C699" s="1" t="s">
        <v>211</v>
      </c>
      <c r="D699" s="1" t="s">
        <v>1439</v>
      </c>
      <c r="G699" s="2" t="str">
        <f>HYPERLINK(CONCATENATE(TabelleURL!$B$1,"332_ADIF/332TE01KA.pdf"), "332TE01KA")</f>
        <v>332TE01KA</v>
      </c>
      <c r="T699" s="63"/>
      <c r="U699" s="5"/>
      <c r="W699" s="5"/>
      <c r="X699" s="17"/>
      <c r="Y699" s="8"/>
      <c r="AC699" s="18"/>
      <c r="AI699" s="5" t="str">
        <f>HYPERLINK(CONCATENATE(TabelleURL!$B$1,"3499_Taxi/34990089.pdf"), "34990089")</f>
        <v>34990089</v>
      </c>
    </row>
    <row r="700" spans="1:35">
      <c r="A700" s="1" t="s">
        <v>1025</v>
      </c>
      <c r="B700" s="1" t="s">
        <v>1440</v>
      </c>
      <c r="D700" s="1" t="s">
        <v>1441</v>
      </c>
      <c r="T700" s="63"/>
      <c r="U700" s="5"/>
      <c r="W700" s="5"/>
      <c r="X700" s="17"/>
      <c r="Y700" s="8"/>
      <c r="AC700" s="18"/>
      <c r="AI700" s="5" t="str">
        <f>HYPERLINK(CONCATENATE(TabelleURL!$B$1,"3499_Taxi/34990090.pdf"), "34990090")</f>
        <v>34990090</v>
      </c>
    </row>
    <row r="701" spans="1:35">
      <c r="A701" s="1" t="s">
        <v>1028</v>
      </c>
      <c r="B701" s="1" t="s">
        <v>1029</v>
      </c>
      <c r="C701" s="1" t="s">
        <v>1030</v>
      </c>
      <c r="D701" s="1" t="s">
        <v>436</v>
      </c>
      <c r="G701" s="2" t="s">
        <v>6</v>
      </c>
      <c r="R701" s="66" t="s">
        <v>11</v>
      </c>
      <c r="S701" s="67" t="str">
        <f>HYPERLINK(CONCATENATE(TabelleURL!$B$1,"341_RC_Interface/3414748.pdf"), "B-3414748")</f>
        <v>B-3414748</v>
      </c>
      <c r="T701" s="63">
        <v>3470003</v>
      </c>
      <c r="U701" s="5" t="s">
        <v>1031</v>
      </c>
      <c r="W701" s="5" t="s">
        <v>294</v>
      </c>
      <c r="X701" s="17"/>
      <c r="Y701" s="8"/>
      <c r="AB701" s="2">
        <v>3720410301</v>
      </c>
      <c r="AC701" s="18"/>
    </row>
    <row r="702" spans="1:35">
      <c r="A702" s="1" t="s">
        <v>1028</v>
      </c>
      <c r="B702" s="1" t="s">
        <v>1029</v>
      </c>
      <c r="C702" s="1" t="s">
        <v>1032</v>
      </c>
      <c r="D702" s="1" t="s">
        <v>245</v>
      </c>
      <c r="T702" s="63"/>
      <c r="U702" s="5"/>
      <c r="W702" s="5"/>
      <c r="X702" s="17"/>
      <c r="Y702" s="8"/>
      <c r="AB702" s="2">
        <v>3720410301</v>
      </c>
      <c r="AC702" s="18"/>
    </row>
    <row r="703" spans="1:35">
      <c r="A703" s="1" t="s">
        <v>1028</v>
      </c>
      <c r="B703" s="1" t="s">
        <v>1029</v>
      </c>
      <c r="C703" s="1" t="s">
        <v>1033</v>
      </c>
      <c r="D703" s="1" t="s">
        <v>73</v>
      </c>
      <c r="T703" s="63"/>
      <c r="U703" s="5"/>
      <c r="W703" s="5"/>
      <c r="X703" s="17"/>
      <c r="Y703" s="8"/>
      <c r="AC703" s="18"/>
    </row>
    <row r="704" spans="1:35" ht="25.5">
      <c r="A704" s="1" t="s">
        <v>1028</v>
      </c>
      <c r="B704" s="1" t="s">
        <v>1034</v>
      </c>
      <c r="C704" s="1" t="s">
        <v>1035</v>
      </c>
      <c r="D704" s="1" t="s">
        <v>562</v>
      </c>
      <c r="R704" s="66" t="s">
        <v>11</v>
      </c>
      <c r="S704" s="67" t="str">
        <f>HYPERLINK(CONCATENATE(TabelleURL!$B$1,"341_RC_Interface/3414748.pdf"), "B-3414748")</f>
        <v>B-3414748</v>
      </c>
      <c r="T704" s="63" t="s">
        <v>1036</v>
      </c>
      <c r="U704" s="5" t="s">
        <v>1031</v>
      </c>
      <c r="W704" s="5" t="s">
        <v>294</v>
      </c>
      <c r="X704" s="17"/>
      <c r="Y704" s="8"/>
      <c r="AC704" s="18"/>
    </row>
    <row r="705" spans="1:35">
      <c r="A705" s="1" t="s">
        <v>1028</v>
      </c>
      <c r="B705" s="1" t="s">
        <v>1034</v>
      </c>
      <c r="C705" s="1" t="s">
        <v>1037</v>
      </c>
      <c r="D705" s="1" t="s">
        <v>213</v>
      </c>
      <c r="G705" s="2" t="str">
        <f>HYPERLINK(CONCATENATE(TabelleURL!$B$1,"342_ADIF/342TY03.pdf"), "342TY03/0")</f>
        <v>342TY03/0</v>
      </c>
      <c r="R705" s="66" t="s">
        <v>11</v>
      </c>
      <c r="S705" s="67" t="str">
        <f>HYPERLINK(CONCATENATE(TabelleURL!$B$1,"341_RC_Interface/3414748.pdf"), "B-3414748")</f>
        <v>B-3414748</v>
      </c>
      <c r="T705" s="63"/>
      <c r="U705" s="5"/>
      <c r="W705" s="5" t="s">
        <v>294</v>
      </c>
      <c r="X705" s="17"/>
      <c r="Y705" s="8"/>
      <c r="AB705" s="2" t="s">
        <v>997</v>
      </c>
      <c r="AC705" s="18"/>
      <c r="AI705" s="5" t="str">
        <f>HYPERLINK(CONCATENATE(TabelleURL!$B$1,"3499_Taxi/34990072.pdf"), "34990072")</f>
        <v>34990072</v>
      </c>
    </row>
    <row r="706" spans="1:35">
      <c r="A706" s="1" t="s">
        <v>1028</v>
      </c>
      <c r="B706" s="1" t="s">
        <v>1038</v>
      </c>
      <c r="C706" s="1" t="s">
        <v>1039</v>
      </c>
      <c r="D706" s="1" t="s">
        <v>107</v>
      </c>
      <c r="R706" s="66" t="s">
        <v>11</v>
      </c>
      <c r="S706" s="67" t="str">
        <f>HYPERLINK(CONCATENATE(TabelleURL!$B$1,"341_RC_Interface/3414748.pdf"), "B-3414748")</f>
        <v>B-3414748</v>
      </c>
      <c r="T706" s="63"/>
      <c r="U706" s="5"/>
      <c r="W706" s="5" t="s">
        <v>294</v>
      </c>
      <c r="X706" s="17"/>
      <c r="Y706" s="8"/>
      <c r="AC706" s="18"/>
    </row>
    <row r="707" spans="1:35">
      <c r="A707" s="1" t="s">
        <v>1028</v>
      </c>
      <c r="B707" s="1" t="s">
        <v>1038</v>
      </c>
      <c r="C707" s="1" t="s">
        <v>1040</v>
      </c>
      <c r="D707" s="1" t="s">
        <v>25</v>
      </c>
      <c r="L707" s="6" t="str">
        <f>HYPERLINK(CONCATENATE(TabelleURL!$B$1,"340_Helfer/3404799.pdf"), "3404799")</f>
        <v>3404799</v>
      </c>
      <c r="R707" s="66" t="s">
        <v>11</v>
      </c>
      <c r="S707" s="67" t="str">
        <f>HYPERLINK(CONCATENATE(TabelleURL!$B$1,"341_RC_Interface/3414748.pdf"), "B-3414748")</f>
        <v>B-3414748</v>
      </c>
      <c r="T707" s="63"/>
      <c r="U707" s="5"/>
      <c r="W707" s="5" t="s">
        <v>294</v>
      </c>
      <c r="X707" s="17"/>
      <c r="Y707" s="8"/>
      <c r="AC707" s="18"/>
    </row>
    <row r="708" spans="1:35">
      <c r="A708" s="1" t="s">
        <v>1028</v>
      </c>
      <c r="B708" s="1" t="s">
        <v>1041</v>
      </c>
      <c r="D708" s="1" t="s">
        <v>213</v>
      </c>
      <c r="R708" s="66" t="s">
        <v>11</v>
      </c>
      <c r="S708" s="67" t="str">
        <f>HYPERLINK(CONCATENATE(TabelleURL!$B$1,"341_RC_Interface/3414748.pdf"), "B-3414748")</f>
        <v>B-3414748</v>
      </c>
      <c r="T708" s="63"/>
      <c r="U708" s="5"/>
      <c r="W708" s="5" t="s">
        <v>294</v>
      </c>
      <c r="X708" s="17"/>
      <c r="Y708" s="8"/>
      <c r="AC708" s="18"/>
    </row>
    <row r="709" spans="1:35" ht="22.5">
      <c r="A709" s="1" t="s">
        <v>1028</v>
      </c>
      <c r="B709" s="1" t="s">
        <v>1042</v>
      </c>
      <c r="C709" s="1" t="s">
        <v>1043</v>
      </c>
      <c r="D709" s="1" t="s">
        <v>213</v>
      </c>
      <c r="F709" s="70" t="s">
        <v>1044</v>
      </c>
      <c r="G709" s="2" t="str">
        <f>HYPERLINK(CONCATENATE(TabelleURL!$B$1,"342_ADIF/342TY02.pdf"), "342TY02/0/KA")</f>
        <v>342TY02/0/KA</v>
      </c>
      <c r="R709" s="66" t="s">
        <v>11</v>
      </c>
      <c r="S709" s="67" t="str">
        <f>HYPERLINK(CONCATENATE(TabelleURL!$B$1,"341_RC_Interface/3414748.pdf"), "B-3414748")</f>
        <v>B-3414748</v>
      </c>
      <c r="T709" s="63"/>
      <c r="U709" s="5"/>
      <c r="W709" s="5" t="s">
        <v>294</v>
      </c>
      <c r="X709" s="17"/>
      <c r="Y709" s="8"/>
      <c r="AC709" s="18"/>
    </row>
    <row r="710" spans="1:35" ht="22.5">
      <c r="A710" s="1" t="s">
        <v>1028</v>
      </c>
      <c r="B710" s="1" t="s">
        <v>1045</v>
      </c>
      <c r="C710" s="1" t="s">
        <v>1046</v>
      </c>
      <c r="D710" s="1" t="s">
        <v>29</v>
      </c>
      <c r="F710" s="70" t="s">
        <v>1044</v>
      </c>
      <c r="G710" s="2" t="str">
        <f>HYPERLINK(CONCATENATE(TabelleURL!$B$1,"342_ADIF/342TY02.pdf"), "342TY02/0/KA")</f>
        <v>342TY02/0/KA</v>
      </c>
      <c r="R710" s="66" t="s">
        <v>11</v>
      </c>
      <c r="S710" s="67" t="str">
        <f>HYPERLINK(CONCATENATE(TabelleURL!$B$1,"341_RC_Interface/3414748.pdf"), "B-3414748")</f>
        <v>B-3414748</v>
      </c>
      <c r="T710" s="63"/>
      <c r="U710" s="5"/>
      <c r="W710" s="5" t="s">
        <v>294</v>
      </c>
      <c r="X710" s="17"/>
      <c r="Y710" s="8"/>
      <c r="AC710" s="18"/>
    </row>
    <row r="711" spans="1:35">
      <c r="A711" s="1" t="s">
        <v>1028</v>
      </c>
      <c r="B711" s="1" t="s">
        <v>1047</v>
      </c>
      <c r="C711" s="1" t="s">
        <v>1048</v>
      </c>
      <c r="D711" s="1" t="s">
        <v>562</v>
      </c>
      <c r="G711" s="2" t="str">
        <f>HYPERLINK(CONCATENATE(TabelleURL!$B$1,"342_ADIF/342TY01.pdf"), "342TY01")</f>
        <v>342TY01</v>
      </c>
      <c r="T711" s="63"/>
      <c r="U711" s="5"/>
      <c r="W711" s="5"/>
      <c r="X711" s="17"/>
      <c r="Y711" s="8"/>
      <c r="AC711" s="18"/>
      <c r="AI711" s="5" t="str">
        <f>HYPERLINK(CONCATENATE(TabelleURL!$B$1,"3499_Taxi/34990071.pdf"), "34990071")</f>
        <v>34990071</v>
      </c>
    </row>
    <row r="712" spans="1:35">
      <c r="A712" s="1" t="s">
        <v>1028</v>
      </c>
      <c r="B712" s="1" t="s">
        <v>1047</v>
      </c>
      <c r="C712" s="1" t="s">
        <v>1049</v>
      </c>
      <c r="D712" s="1" t="s">
        <v>213</v>
      </c>
      <c r="G712" s="2" t="str">
        <f>HYPERLINK(CONCATENATE(TabelleURL!$B$1,"342_ADIF/342TY02.pdf"), "342TY02/0/KA")</f>
        <v>342TY02/0/KA</v>
      </c>
      <c r="T712" s="63"/>
      <c r="U712" s="5"/>
      <c r="W712" s="5"/>
      <c r="X712" s="17"/>
      <c r="Y712" s="8"/>
      <c r="AB712" s="2" t="s">
        <v>997</v>
      </c>
      <c r="AC712" s="18"/>
      <c r="AI712" s="5" t="str">
        <f>HYPERLINK(CONCATENATE(TabelleURL!$B$1,"3499_Taxi/34990075.pdf"), "34990075")</f>
        <v>34990075</v>
      </c>
    </row>
    <row r="713" spans="1:35">
      <c r="A713" s="1" t="s">
        <v>1028</v>
      </c>
      <c r="B713" s="1" t="s">
        <v>1047</v>
      </c>
      <c r="C713" s="1" t="s">
        <v>1050</v>
      </c>
      <c r="D713" s="1" t="s">
        <v>367</v>
      </c>
      <c r="G713" s="2" t="str">
        <f>HYPERLINK(CONCATENATE(TabelleURL!$B$1,"342_ADIF/342TY02.pdf"), "342TY02/0/KA")</f>
        <v>342TY02/0/KA</v>
      </c>
      <c r="T713" s="63"/>
      <c r="U713" s="5"/>
      <c r="W713" s="5"/>
      <c r="X713" s="17"/>
      <c r="Y713" s="8"/>
      <c r="AB713" s="2">
        <v>3720410301</v>
      </c>
      <c r="AC713" s="18"/>
      <c r="AI713" s="5" t="str">
        <f>HYPERLINK(CONCATENATE(TabelleURL!$B$1,"3499_Taxi/34990082.pdf"), "34990082")</f>
        <v>34990082</v>
      </c>
    </row>
    <row r="714" spans="1:35">
      <c r="A714" s="1" t="s">
        <v>1028</v>
      </c>
      <c r="B714" s="1" t="s">
        <v>1425</v>
      </c>
      <c r="D714" s="1" t="s">
        <v>25</v>
      </c>
      <c r="T714" s="63"/>
      <c r="U714" s="5"/>
      <c r="W714" s="5"/>
      <c r="X714" s="17"/>
      <c r="Y714" s="8"/>
      <c r="AC714" s="18"/>
    </row>
    <row r="715" spans="1:35">
      <c r="A715" s="1" t="s">
        <v>1028</v>
      </c>
      <c r="B715" s="1" t="s">
        <v>1051</v>
      </c>
      <c r="C715" s="1" t="s">
        <v>225</v>
      </c>
      <c r="D715" s="1" t="s">
        <v>768</v>
      </c>
      <c r="F715" s="70" t="s">
        <v>1052</v>
      </c>
      <c r="T715" s="63"/>
      <c r="U715" s="5"/>
      <c r="W715" s="5"/>
      <c r="X715" s="17"/>
      <c r="Y715" s="8"/>
      <c r="AC715" s="18"/>
    </row>
    <row r="716" spans="1:35">
      <c r="A716" s="1" t="s">
        <v>1028</v>
      </c>
      <c r="B716" s="1" t="s">
        <v>1051</v>
      </c>
      <c r="C716" s="1" t="s">
        <v>1053</v>
      </c>
      <c r="D716" s="1" t="s">
        <v>201</v>
      </c>
      <c r="R716" s="66" t="s">
        <v>11</v>
      </c>
      <c r="S716" s="67" t="str">
        <f>HYPERLINK(CONCATENATE(TabelleURL!$B$1,"341_RC_Interface/3414748.pdf"), "B-3414748")</f>
        <v>B-3414748</v>
      </c>
      <c r="T716" s="63"/>
      <c r="U716" s="5"/>
      <c r="W716" s="5" t="s">
        <v>294</v>
      </c>
      <c r="X716" s="17"/>
      <c r="Y716" s="8"/>
      <c r="AB716" s="2">
        <v>3720410301</v>
      </c>
      <c r="AC716" s="18"/>
    </row>
    <row r="717" spans="1:35">
      <c r="A717" s="1" t="s">
        <v>1028</v>
      </c>
      <c r="B717" s="1" t="s">
        <v>1051</v>
      </c>
      <c r="C717" s="1" t="s">
        <v>1054</v>
      </c>
      <c r="D717" s="1" t="s">
        <v>260</v>
      </c>
      <c r="T717" s="63"/>
      <c r="U717" s="5"/>
      <c r="W717" s="5"/>
      <c r="X717" s="17"/>
      <c r="Y717" s="8"/>
      <c r="AB717" s="2" t="s">
        <v>997</v>
      </c>
      <c r="AC717" s="18"/>
    </row>
    <row r="718" spans="1:35">
      <c r="A718" s="1" t="s">
        <v>1028</v>
      </c>
      <c r="B718" s="1" t="s">
        <v>1051</v>
      </c>
      <c r="C718" s="1" t="s">
        <v>305</v>
      </c>
      <c r="D718" s="1" t="s">
        <v>19</v>
      </c>
      <c r="T718" s="63"/>
      <c r="U718" s="5"/>
      <c r="W718" s="5"/>
      <c r="X718" s="17"/>
      <c r="Y718" s="8"/>
      <c r="AB718" s="2" t="s">
        <v>997</v>
      </c>
      <c r="AC718" s="18"/>
    </row>
    <row r="719" spans="1:35">
      <c r="A719" s="1" t="s">
        <v>1028</v>
      </c>
      <c r="B719" s="1" t="s">
        <v>1055</v>
      </c>
      <c r="D719" s="1" t="s">
        <v>114</v>
      </c>
      <c r="R719" s="66" t="s">
        <v>11</v>
      </c>
      <c r="S719" s="67" t="str">
        <f>HYPERLINK(CONCATENATE(TabelleURL!$B$1,"341_RC_Interface/3414748.pdf"), "B-3414748")</f>
        <v>B-3414748</v>
      </c>
      <c r="T719" s="63"/>
      <c r="U719" s="5"/>
      <c r="W719" s="5" t="s">
        <v>294</v>
      </c>
      <c r="X719" s="17"/>
      <c r="Y719" s="8"/>
      <c r="AC719" s="18"/>
    </row>
    <row r="720" spans="1:35">
      <c r="A720" s="1" t="s">
        <v>1028</v>
      </c>
      <c r="B720" s="1" t="s">
        <v>1056</v>
      </c>
      <c r="D720" s="1" t="s">
        <v>213</v>
      </c>
      <c r="R720" s="66" t="s">
        <v>11</v>
      </c>
      <c r="S720" s="67" t="str">
        <f>HYPERLINK(CONCATENATE(TabelleURL!$B$1,"341_RC_Interface/3414748.pdf"), "B-3414748")</f>
        <v>B-3414748</v>
      </c>
      <c r="T720" s="63"/>
      <c r="U720" s="5"/>
      <c r="W720" s="5" t="s">
        <v>294</v>
      </c>
      <c r="X720" s="17"/>
      <c r="Y720" s="8"/>
      <c r="AC720" s="18"/>
    </row>
    <row r="721" spans="1:45">
      <c r="A721" s="1" t="s">
        <v>1028</v>
      </c>
      <c r="B721" s="1" t="s">
        <v>1057</v>
      </c>
      <c r="D721" s="1" t="s">
        <v>213</v>
      </c>
      <c r="R721" s="66" t="s">
        <v>11</v>
      </c>
      <c r="S721" s="67" t="str">
        <f>HYPERLINK(CONCATENATE(TabelleURL!$B$1,"341_RC_Interface/3414748.pdf"), "B-3414748")</f>
        <v>B-3414748</v>
      </c>
      <c r="T721" s="63"/>
      <c r="U721" s="5"/>
      <c r="W721" s="5" t="s">
        <v>294</v>
      </c>
      <c r="X721" s="17"/>
      <c r="Y721" s="8"/>
      <c r="AB721" s="2" t="s">
        <v>997</v>
      </c>
      <c r="AC721" s="18"/>
    </row>
    <row r="722" spans="1:45">
      <c r="A722" s="1" t="s">
        <v>1028</v>
      </c>
      <c r="B722" s="1" t="s">
        <v>1058</v>
      </c>
      <c r="C722" s="1" t="s">
        <v>1059</v>
      </c>
      <c r="D722" s="1" t="s">
        <v>210</v>
      </c>
      <c r="R722" s="66" t="s">
        <v>11</v>
      </c>
      <c r="S722" s="67" t="str">
        <f>HYPERLINK(CONCATENATE(TabelleURL!$B$1,"341_RC_Interface/3414748.pdf"), "B-3414748")</f>
        <v>B-3414748</v>
      </c>
      <c r="T722" s="63">
        <v>3470003</v>
      </c>
      <c r="U722" s="5" t="s">
        <v>1031</v>
      </c>
      <c r="W722" s="5" t="s">
        <v>294</v>
      </c>
      <c r="X722" s="17"/>
      <c r="Y722" s="8"/>
      <c r="AC722" s="18"/>
    </row>
    <row r="723" spans="1:45">
      <c r="A723" s="1" t="s">
        <v>1028</v>
      </c>
      <c r="B723" s="1" t="s">
        <v>1058</v>
      </c>
      <c r="C723" s="1" t="s">
        <v>1060</v>
      </c>
      <c r="D723" s="1" t="s">
        <v>86</v>
      </c>
      <c r="R723" s="66" t="s">
        <v>11</v>
      </c>
      <c r="S723" s="67" t="str">
        <f>HYPERLINK(CONCATENATE(TabelleURL!$B$1,"341_RC_Interface/3414748.pdf"), "B-3414748")</f>
        <v>B-3414748</v>
      </c>
      <c r="T723" s="63"/>
      <c r="U723" s="5"/>
      <c r="W723" s="5" t="s">
        <v>294</v>
      </c>
      <c r="X723" s="17"/>
      <c r="Y723" s="8"/>
      <c r="AB723" s="2">
        <v>3720410301</v>
      </c>
      <c r="AC723" s="18"/>
    </row>
    <row r="724" spans="1:45">
      <c r="A724" s="1" t="s">
        <v>1061</v>
      </c>
      <c r="B724" s="1" t="s">
        <v>1062</v>
      </c>
      <c r="C724" s="1" t="s">
        <v>1063</v>
      </c>
      <c r="D724" s="1" t="s">
        <v>114</v>
      </c>
      <c r="G724" s="2" t="str">
        <f>HYPERLINK(CONCATENATE(TabelleURL!$B$1,"332_ADIF/332VO01.pdf"), "332VO01KA")</f>
        <v>332VO01KA</v>
      </c>
      <c r="T724" s="63"/>
      <c r="U724" s="5"/>
      <c r="W724" s="5"/>
      <c r="X724" s="17"/>
      <c r="Y724" s="8"/>
      <c r="AC724" s="18"/>
    </row>
    <row r="725" spans="1:45">
      <c r="A725" s="1" t="s">
        <v>1061</v>
      </c>
      <c r="B725" s="1" t="s">
        <v>1064</v>
      </c>
      <c r="C725" s="1" t="s">
        <v>211</v>
      </c>
      <c r="D725" s="1" t="s">
        <v>213</v>
      </c>
      <c r="M725" s="5" t="str">
        <f>HYPERLINK(CONCATENATE(TabelleURL!$B$1,"345_Signalbox/3450262.pdf"), "3450262")</f>
        <v>3450262</v>
      </c>
      <c r="P725" s="5" t="str">
        <f>HYPERLINK(CONCATENATE(TabelleURL!$B$1,"345_Signalbox/3450262-W.pdf"), "3450262-W")</f>
        <v>3450262-W</v>
      </c>
      <c r="T725" s="63"/>
      <c r="U725" s="5"/>
      <c r="W725" s="5"/>
      <c r="X725" s="17"/>
      <c r="Y725" s="8"/>
      <c r="AC725" s="18"/>
    </row>
    <row r="726" spans="1:45">
      <c r="A726" s="1" t="s">
        <v>1061</v>
      </c>
      <c r="B726" s="1" t="s">
        <v>1065</v>
      </c>
      <c r="C726" s="1" t="s">
        <v>1063</v>
      </c>
      <c r="D726" s="1" t="s">
        <v>337</v>
      </c>
      <c r="G726" s="2" t="str">
        <f>HYPERLINK(CONCATENATE(TabelleURL!$B$1,"332_ADIF/332VO01.pdf"), "332VO01KA")</f>
        <v>332VO01KA</v>
      </c>
      <c r="T726" s="63"/>
      <c r="U726" s="5"/>
      <c r="W726" s="5"/>
      <c r="X726" s="17"/>
      <c r="Y726" s="8"/>
      <c r="AC726" s="18"/>
    </row>
    <row r="727" spans="1:45">
      <c r="A727" s="1" t="s">
        <v>1061</v>
      </c>
      <c r="B727" s="1" t="s">
        <v>1066</v>
      </c>
      <c r="C727" s="1" t="s">
        <v>1067</v>
      </c>
      <c r="D727" s="1" t="s">
        <v>1068</v>
      </c>
      <c r="R727" s="66" t="s">
        <v>221</v>
      </c>
      <c r="S727" s="67" t="str">
        <f>HYPERLINK(CONCATENATE(TabelleURL!$B$1,"347_URI/3474765.pdf"), "B-3474765")</f>
        <v>B-3474765</v>
      </c>
      <c r="T727" s="63">
        <v>3474765</v>
      </c>
      <c r="U727" s="5" t="s">
        <v>1069</v>
      </c>
      <c r="W727" s="5"/>
      <c r="X727" s="17"/>
      <c r="Y727" s="8"/>
      <c r="AC727" s="18"/>
    </row>
    <row r="728" spans="1:45">
      <c r="A728" s="1" t="s">
        <v>1061</v>
      </c>
      <c r="B728" s="1" t="s">
        <v>1066</v>
      </c>
      <c r="C728" s="1" t="s">
        <v>1070</v>
      </c>
      <c r="D728" s="1" t="s">
        <v>500</v>
      </c>
      <c r="G728" s="2" t="str">
        <f>HYPERLINK(CONCATENATE(TabelleURL!$B$1,"342_ADIF/342VO02.pdf"), "332VO02KA")</f>
        <v>332VO02KA</v>
      </c>
      <c r="I728" s="85" t="str">
        <f>HYPERLINK(CONCATENATE(TabelleURL!$B$1,"332_ADIF/332VO02ZI.pdf"), "332VO02/ZI")</f>
        <v>332VO02/ZI</v>
      </c>
      <c r="M728" s="5" t="str">
        <f>HYPERLINK(CONCATENATE(TabelleURL!$B$1,"345_Signalbox/3450275.pdf"), "3450275")</f>
        <v>3450275</v>
      </c>
      <c r="T728" s="63"/>
      <c r="U728" s="5"/>
      <c r="W728" s="5"/>
      <c r="X728" s="17"/>
      <c r="Y728" s="8"/>
      <c r="AC728" s="18" t="s">
        <v>11</v>
      </c>
      <c r="AD728" s="4" t="str">
        <f>HYPERLINK(CONCATENATE(TabelleURL!$B$1,"367/3674212-PDC.pdf"), "3674212-PDC")</f>
        <v>3674212-PDC</v>
      </c>
    </row>
    <row r="729" spans="1:45">
      <c r="A729" s="1" t="s">
        <v>1061</v>
      </c>
      <c r="B729" s="1" t="s">
        <v>1066</v>
      </c>
      <c r="C729" s="1" t="s">
        <v>1071</v>
      </c>
      <c r="D729" s="1" t="s">
        <v>19</v>
      </c>
      <c r="G729" s="2" t="str">
        <f>HYPERLINK(CONCATENATE(TabelleURL!$B$1,"342_ADIF/342VO02.pdf"), "332VO02KA")</f>
        <v>332VO02KA</v>
      </c>
      <c r="I729" s="85" t="str">
        <f>HYPERLINK(CONCATENATE(TabelleURL!$B$1,"332_ADIF/332VO02ZI.pdf"), "332VO02/ZI")</f>
        <v>332VO02/ZI</v>
      </c>
      <c r="M729" s="5" t="str">
        <f>HYPERLINK(CONCATENATE(TabelleURL!$B$1,"345_Signalbox/3450275.pdf"), "3450275")</f>
        <v>3450275</v>
      </c>
      <c r="T729" s="63"/>
      <c r="U729" s="5"/>
      <c r="W729" s="5"/>
      <c r="X729" s="17"/>
      <c r="Y729" s="8"/>
      <c r="AC729" s="18"/>
      <c r="AD729" s="4"/>
      <c r="AS729" s="83" t="str">
        <f>HYPERLINK(CONCATENATE(TabelleURL!$B$1,"339_MWS/B-339VO01.pdf"), "B-339VO01")</f>
        <v>B-339VO01</v>
      </c>
    </row>
    <row r="730" spans="1:45">
      <c r="A730" s="1" t="s">
        <v>1061</v>
      </c>
      <c r="B730" s="1" t="s">
        <v>1072</v>
      </c>
      <c r="C730" s="1" t="s">
        <v>1073</v>
      </c>
      <c r="D730" s="1" t="s">
        <v>410</v>
      </c>
      <c r="G730" s="2" t="str">
        <f>HYPERLINK(CONCATENATE(TabelleURL!$B$1,"332_ADIF/332VO01.pdf"), "332VO01KA")</f>
        <v>332VO01KA</v>
      </c>
      <c r="T730" s="63"/>
      <c r="U730" s="5"/>
      <c r="W730" s="5"/>
      <c r="X730" s="17"/>
      <c r="Y730" s="8"/>
      <c r="AC730" s="18"/>
    </row>
    <row r="731" spans="1:45">
      <c r="A731" s="1" t="s">
        <v>1061</v>
      </c>
      <c r="B731" s="1" t="s">
        <v>1072</v>
      </c>
      <c r="C731" s="1" t="s">
        <v>1074</v>
      </c>
      <c r="D731" s="1" t="s">
        <v>114</v>
      </c>
      <c r="G731" s="2" t="str">
        <f>HYPERLINK(CONCATENATE(TabelleURL!$B$1,"332_ADIF/332VO01.pdf"), "332VO01KA")</f>
        <v>332VO01KA</v>
      </c>
      <c r="T731" s="63"/>
      <c r="U731" s="5"/>
      <c r="W731" s="5"/>
      <c r="X731" s="17"/>
      <c r="Y731" s="8"/>
      <c r="AC731" s="18"/>
    </row>
    <row r="732" spans="1:45">
      <c r="A732" s="1" t="s">
        <v>1061</v>
      </c>
      <c r="B732" s="1" t="s">
        <v>1075</v>
      </c>
      <c r="D732" s="1" t="s">
        <v>25</v>
      </c>
      <c r="I732" s="2" t="str">
        <f>HYPERLINK(CONCATENATE(TabelleURL!$B$1,"332_ADIF/332VO03ZI.pdf"), "332VO03/ZI")</f>
        <v>332VO03/ZI</v>
      </c>
      <c r="T732" s="63"/>
      <c r="U732" s="5"/>
      <c r="W732" s="5"/>
      <c r="X732" s="17"/>
      <c r="Y732" s="8"/>
      <c r="AC732" s="18"/>
      <c r="AI732" s="5" t="str">
        <f>HYPERLINK(CONCATENATE(TabelleURL!$B$1,"3499_Taxi/34990088.pdf"), "34990088")</f>
        <v>34990088</v>
      </c>
      <c r="AS732" s="83" t="str">
        <f>HYPERLINK(CONCATENATE(TabelleURL!$B$1,"339_MWS/B-339VO03.pdf"), "B-339VO03")</f>
        <v>B-339VO03</v>
      </c>
    </row>
    <row r="733" spans="1:45">
      <c r="A733" s="1" t="s">
        <v>1061</v>
      </c>
      <c r="B733" s="1" t="s">
        <v>1076</v>
      </c>
      <c r="D733" s="1" t="s">
        <v>61</v>
      </c>
      <c r="M733" s="9"/>
      <c r="P733" s="5" t="str">
        <f>HYPERLINK(CONCATENATE(TabelleURL!$B$1,"345_Signalbox/3450282-W.pdf"), "3450282-W")</f>
        <v>3450282-W</v>
      </c>
      <c r="T733" s="63"/>
      <c r="U733" s="5"/>
      <c r="W733" s="5"/>
      <c r="X733" s="17"/>
      <c r="Y733" s="8"/>
      <c r="AC733" s="18"/>
    </row>
    <row r="734" spans="1:45">
      <c r="A734" s="1" t="s">
        <v>1061</v>
      </c>
      <c r="B734" s="1" t="s">
        <v>1077</v>
      </c>
      <c r="D734" s="1" t="s">
        <v>344</v>
      </c>
      <c r="G734" s="2" t="str">
        <f>HYPERLINK(CONCATENATE(TabelleURL!$B$1,"332_ADIF/332VO01.pdf"), "332VO01KA")</f>
        <v>332VO01KA</v>
      </c>
      <c r="T734" s="63"/>
      <c r="U734" s="5"/>
      <c r="W734" s="5"/>
      <c r="X734" s="17"/>
      <c r="Y734" s="8"/>
      <c r="AC734" s="18"/>
    </row>
    <row r="735" spans="1:45">
      <c r="A735" s="1" t="s">
        <v>1061</v>
      </c>
      <c r="B735" s="1" t="s">
        <v>1077</v>
      </c>
      <c r="D735" s="1" t="s">
        <v>251</v>
      </c>
      <c r="G735" s="2" t="str">
        <f>HYPERLINK(CONCATENATE(TabelleURL!$B$1,"332_ADIF/332VO01.pdf"), "332VO01KA")</f>
        <v>332VO01KA</v>
      </c>
      <c r="T735" s="63"/>
      <c r="U735" s="5"/>
      <c r="W735" s="5"/>
      <c r="X735" s="17"/>
      <c r="Y735" s="8"/>
      <c r="AC735" s="18"/>
    </row>
    <row r="736" spans="1:45">
      <c r="A736" s="1" t="s">
        <v>1061</v>
      </c>
      <c r="B736" s="1" t="s">
        <v>1078</v>
      </c>
      <c r="C736" s="1" t="s">
        <v>1423</v>
      </c>
      <c r="D736" s="1" t="s">
        <v>27</v>
      </c>
      <c r="G736" s="2" t="str">
        <f>HYPERLINK(CONCATENATE(TabelleURL!$B$1,"342_ADIF/342VO02.pdf"), "332VO02KA")</f>
        <v>332VO02KA</v>
      </c>
      <c r="I736" s="85" t="str">
        <f>HYPERLINK(CONCATENATE(TabelleURL!$B$1,"332_ADIF/332VO02ZI.pdf"), "332VO02/ZI")</f>
        <v>332VO02/ZI</v>
      </c>
      <c r="M736" s="5" t="str">
        <f>HYPERLINK(CONCATENATE(TabelleURL!$B$1,"345_Signalbox/3450275.pdf"), "3450275")</f>
        <v>3450275</v>
      </c>
      <c r="T736" s="63"/>
      <c r="U736" s="5"/>
      <c r="W736" s="5"/>
      <c r="X736" s="17"/>
      <c r="Y736" s="8"/>
      <c r="AC736" s="18"/>
    </row>
    <row r="737" spans="1:48">
      <c r="A737" s="1" t="s">
        <v>1061</v>
      </c>
      <c r="B737" s="1" t="s">
        <v>1078</v>
      </c>
      <c r="C737" s="1" t="s">
        <v>407</v>
      </c>
      <c r="D737" s="1" t="s">
        <v>1424</v>
      </c>
      <c r="G737" s="2" t="str">
        <f>HYPERLINK(CONCATENATE(TabelleURL!$B$1,"342_ADIF/342VO02.pdf"), "332VO02KA")</f>
        <v>332VO02KA</v>
      </c>
      <c r="I737" s="85" t="str">
        <f>HYPERLINK(CONCATENATE(TabelleURL!$B$1,"332_ADIF/332VO02ZI.pdf"), "332VO02/ZI")</f>
        <v>332VO02/ZI</v>
      </c>
      <c r="M737" s="5" t="str">
        <f>HYPERLINK(CONCATENATE(TabelleURL!$B$1,"345_Signalbox/3450275.pdf"), "3450275")</f>
        <v>3450275</v>
      </c>
      <c r="T737" s="63"/>
      <c r="U737" s="5"/>
      <c r="W737" s="5"/>
      <c r="X737" s="17"/>
      <c r="Y737" s="8"/>
      <c r="AC737" s="18"/>
      <c r="AD737" s="4"/>
      <c r="AS737" s="83" t="str">
        <f>HYPERLINK(CONCATENATE(TabelleURL!$B$1,"339_MWS/B-339VO01.pdf"), "B-339VO01")</f>
        <v>B-339VO01</v>
      </c>
    </row>
    <row r="738" spans="1:48">
      <c r="A738" s="1" t="s">
        <v>1061</v>
      </c>
      <c r="B738" s="1" t="s">
        <v>1078</v>
      </c>
      <c r="C738" s="1" t="s">
        <v>270</v>
      </c>
      <c r="D738" s="1" t="s">
        <v>1389</v>
      </c>
      <c r="I738" s="85"/>
      <c r="T738" s="63"/>
      <c r="U738" s="5"/>
      <c r="W738" s="5"/>
      <c r="X738" s="17"/>
      <c r="Y738" s="8"/>
      <c r="AC738" s="18"/>
      <c r="AD738" s="4"/>
      <c r="AS738" s="83"/>
    </row>
    <row r="739" spans="1:48">
      <c r="A739" s="1" t="s">
        <v>1061</v>
      </c>
      <c r="B739" s="1" t="s">
        <v>1079</v>
      </c>
      <c r="C739" s="1" t="s">
        <v>1080</v>
      </c>
      <c r="D739" s="1" t="s">
        <v>608</v>
      </c>
      <c r="G739" s="2" t="str">
        <f>HYPERLINK(CONCATENATE(TabelleURL!$B$1,"332_ADIF/332VO01.pdf"), "332VO01KA")</f>
        <v>332VO01KA</v>
      </c>
      <c r="R739" s="66" t="s">
        <v>221</v>
      </c>
      <c r="S739" s="67" t="str">
        <f>HYPERLINK(CONCATENATE(TabelleURL!$B$1,"347_URI/3474765.pdf"), "B-3474765")</f>
        <v>B-3474765</v>
      </c>
      <c r="T739" s="63">
        <v>3474765</v>
      </c>
      <c r="U739" s="5" t="s">
        <v>1069</v>
      </c>
      <c r="W739" s="5"/>
      <c r="X739" s="17"/>
      <c r="Y739" s="8"/>
      <c r="AC739" s="18" t="s">
        <v>11</v>
      </c>
      <c r="AD739" s="4" t="str">
        <f>HYPERLINK(CONCATENATE(TabelleURL!$B$1,"367/3674212-PDC.pdf"), "3674212-PDC")</f>
        <v>3674212-PDC</v>
      </c>
    </row>
    <row r="740" spans="1:48">
      <c r="A740" s="1" t="s">
        <v>1061</v>
      </c>
      <c r="B740" s="1" t="s">
        <v>1079</v>
      </c>
      <c r="C740" s="1" t="s">
        <v>1081</v>
      </c>
      <c r="D740" s="1" t="s">
        <v>251</v>
      </c>
      <c r="G740" s="2" t="str">
        <f>HYPERLINK(CONCATENATE(TabelleURL!$B$1,"332_ADIF/332VO01.pdf"), "332VO01KA")</f>
        <v>332VO01KA</v>
      </c>
      <c r="M740" s="5" t="str">
        <f>HYPERLINK(CONCATENATE(TabelleURL!$B$1,"345_Signalbox/3450262.pdf"), "3450262")</f>
        <v>3450262</v>
      </c>
      <c r="P740" s="5" t="str">
        <f>HYPERLINK(CONCATENATE(TabelleURL!$B$1,"345_Signalbox/3450262-W.pdf"), "3450262-W")</f>
        <v>3450262-W</v>
      </c>
      <c r="T740" s="63"/>
      <c r="U740" s="5"/>
      <c r="W740" s="5"/>
      <c r="X740" s="17"/>
      <c r="Y740" s="8"/>
      <c r="AC740" s="10"/>
      <c r="AD740" s="10"/>
    </row>
    <row r="741" spans="1:48">
      <c r="A741" s="1" t="s">
        <v>1061</v>
      </c>
      <c r="B741" s="1" t="s">
        <v>1082</v>
      </c>
      <c r="D741" s="1" t="s">
        <v>25</v>
      </c>
      <c r="I741" s="2" t="str">
        <f>HYPERLINK(CONCATENATE(TabelleURL!$B$1,"332_ADIF/332VO03ZI.pdf"), "332VO03/ZI")</f>
        <v>332VO03/ZI</v>
      </c>
      <c r="T741" s="63"/>
      <c r="U741" s="5"/>
      <c r="W741" s="5"/>
      <c r="X741" s="17"/>
      <c r="Y741" s="8"/>
      <c r="AC741" s="18"/>
      <c r="AI741" s="5" t="str">
        <f>HYPERLINK(CONCATENATE(TabelleURL!$B$1,"3499_Taxi/34990088.pdf"), "34990088")</f>
        <v>34990088</v>
      </c>
      <c r="AS741" s="83" t="str">
        <f>HYPERLINK(CONCATENATE(TabelleURL!$B$1,"339_MWS/B-339VO03.pdf"), "B-339VO03")</f>
        <v>B-339VO03</v>
      </c>
    </row>
    <row r="742" spans="1:48">
      <c r="A742" s="1" t="s">
        <v>1061</v>
      </c>
      <c r="B742" s="1" t="s">
        <v>1083</v>
      </c>
      <c r="D742" s="1" t="s">
        <v>424</v>
      </c>
      <c r="T742" s="63"/>
      <c r="U742" s="5"/>
      <c r="W742" s="5"/>
      <c r="X742" s="17"/>
      <c r="Y742" s="8"/>
      <c r="AC742" s="18"/>
    </row>
    <row r="743" spans="1:48">
      <c r="A743" s="1" t="s">
        <v>1061</v>
      </c>
      <c r="B743" s="1" t="s">
        <v>1083</v>
      </c>
      <c r="D743" s="1" t="s">
        <v>462</v>
      </c>
      <c r="G743" s="2" t="str">
        <f>HYPERLINK(CONCATENATE(TabelleURL!$B$1,"342_ADIF/342VO02.pdf"), "332VO02KA")</f>
        <v>332VO02KA</v>
      </c>
      <c r="I743" s="85" t="str">
        <f>HYPERLINK(CONCATENATE(TabelleURL!$B$1,"332_ADIF/332VO02ZI.pdf"), "332VO02/ZI")</f>
        <v>332VO02/ZI</v>
      </c>
      <c r="M743" s="5" t="str">
        <f>HYPERLINK(CONCATENATE(TabelleURL!$B$1,"345_Signalbox/3450275.pdf"), "3450275")</f>
        <v>3450275</v>
      </c>
      <c r="T743" s="63"/>
      <c r="U743" s="5"/>
      <c r="W743" s="5"/>
      <c r="X743" s="17"/>
      <c r="Y743" s="8"/>
      <c r="AC743" s="18"/>
      <c r="AS743" s="8"/>
    </row>
    <row r="744" spans="1:48">
      <c r="A744" s="1" t="s">
        <v>1061</v>
      </c>
      <c r="B744" s="1" t="s">
        <v>1083</v>
      </c>
      <c r="C744" s="1" t="s">
        <v>407</v>
      </c>
      <c r="D744" s="1" t="s">
        <v>1393</v>
      </c>
      <c r="G744" s="2" t="str">
        <f>HYPERLINK(CONCATENATE(TabelleURL!$B$1,"342_ADIF/342VO02.pdf"), "332VO02KA")</f>
        <v>332VO02KA</v>
      </c>
      <c r="I744" s="85" t="str">
        <f>HYPERLINK(CONCATENATE(TabelleURL!$B$1,"332_ADIF/332VO02ZI.pdf"), "332VO02/ZI")</f>
        <v>332VO02/ZI</v>
      </c>
      <c r="M744" s="5" t="str">
        <f>HYPERLINK(CONCATENATE(TabelleURL!$B$1,"345_Signalbox/3450275.pdf"), "3450275")</f>
        <v>3450275</v>
      </c>
      <c r="T744" s="63"/>
      <c r="U744" s="5"/>
      <c r="W744" s="5"/>
      <c r="X744" s="17"/>
      <c r="Y744" s="8"/>
      <c r="AC744" s="18"/>
      <c r="AD744" s="4"/>
      <c r="AS744" s="83" t="str">
        <f>HYPERLINK(CONCATENATE(TabelleURL!$B$1,"339_MWS/B-339VO01.pdf"), "B-339VO01")</f>
        <v>B-339VO01</v>
      </c>
    </row>
    <row r="745" spans="1:48">
      <c r="A745" s="1" t="s">
        <v>1061</v>
      </c>
      <c r="B745" s="1" t="s">
        <v>1083</v>
      </c>
      <c r="C745" s="1" t="s">
        <v>225</v>
      </c>
      <c r="D745" s="82" t="s">
        <v>104</v>
      </c>
      <c r="I745" s="85" t="str">
        <f>HYPERLINK(CONCATENATE(TabelleURL!$B$1,"332_ADIF/332VO03ZI.pdf"), "332VO03/ZI")</f>
        <v>332VO03/ZI</v>
      </c>
      <c r="M745" s="5" t="s">
        <v>1422</v>
      </c>
      <c r="T745" s="63"/>
      <c r="U745" s="5"/>
      <c r="W745" s="5"/>
      <c r="X745" s="17"/>
      <c r="Y745" s="8"/>
      <c r="AC745" s="18"/>
      <c r="AD745" s="4"/>
      <c r="AP745" s="2" t="str">
        <f>HYPERLINK(CONCATENATE(TabelleURL!$B$1,"367/3674700.pdf"), "3674700")</f>
        <v>3674700</v>
      </c>
      <c r="AS745" s="83"/>
      <c r="AU745" s="84" t="str">
        <f>HYPERLINK(CONCATENATE(TabelleURL!$B$1,"332_ADIF/332VO03FB.pdf"), "332VO03FB")</f>
        <v>332VO03FB</v>
      </c>
      <c r="AV745" s="87" t="str">
        <f>HYPERLINK(CONCATENATE(TabelleURL!$B$1,"332_ADIF/332VO03LI.pdf"), "332VO03LI")</f>
        <v>332VO03LI</v>
      </c>
    </row>
    <row r="746" spans="1:48">
      <c r="A746" s="1" t="s">
        <v>1061</v>
      </c>
      <c r="B746" s="1" t="s">
        <v>1084</v>
      </c>
      <c r="C746" s="1" t="s">
        <v>1085</v>
      </c>
      <c r="D746" s="1" t="s">
        <v>608</v>
      </c>
      <c r="E746" s="76" t="s">
        <v>1086</v>
      </c>
      <c r="G746" s="2" t="str">
        <f>HYPERLINK(CONCATENATE(TabelleURL!$B$1,"332_ADIF/332VO01.pdf"), "332VO01KA")</f>
        <v>332VO01KA</v>
      </c>
      <c r="R746" s="66" t="s">
        <v>221</v>
      </c>
      <c r="S746" s="67" t="str">
        <f>HYPERLINK(CONCATENATE(TabelleURL!$B$1,"347_URI/3474765.pdf"), "B-3474765")</f>
        <v>B-3474765</v>
      </c>
      <c r="T746" s="63">
        <v>3474765</v>
      </c>
      <c r="U746" s="5" t="s">
        <v>1069</v>
      </c>
      <c r="W746" s="5"/>
      <c r="X746" s="17"/>
      <c r="Y746" s="8"/>
      <c r="AC746" s="18"/>
    </row>
    <row r="747" spans="1:48">
      <c r="A747" s="1" t="s">
        <v>1061</v>
      </c>
      <c r="B747" s="1" t="s">
        <v>1084</v>
      </c>
      <c r="C747" s="1" t="s">
        <v>1081</v>
      </c>
      <c r="D747" s="1" t="s">
        <v>251</v>
      </c>
      <c r="G747" s="2" t="str">
        <f>HYPERLINK(CONCATENATE(TabelleURL!$B$1,"332_ADIF/332VO01.pdf"), "332VO01KA")</f>
        <v>332VO01KA</v>
      </c>
      <c r="M747" s="5" t="str">
        <f>HYPERLINK(CONCATENATE(TabelleURL!$B$1,"345_Signalbox/3450262.pdf"), "3450262")</f>
        <v>3450262</v>
      </c>
      <c r="P747" s="5" t="str">
        <f>HYPERLINK(CONCATENATE(TabelleURL!$B$1,"345_Signalbox/3450262-W.pdf"), "3450262-W")</f>
        <v>3450262-W</v>
      </c>
      <c r="T747" s="63"/>
      <c r="U747" s="5"/>
      <c r="W747" s="5"/>
      <c r="X747" s="17"/>
      <c r="Y747" s="8"/>
      <c r="AC747" s="18"/>
    </row>
    <row r="748" spans="1:48">
      <c r="A748" s="1" t="s">
        <v>1061</v>
      </c>
      <c r="B748" s="1" t="s">
        <v>1087</v>
      </c>
      <c r="D748" s="1" t="s">
        <v>799</v>
      </c>
      <c r="G748" s="2" t="str">
        <f>HYPERLINK(CONCATENATE(TabelleURL!$B$1,"332_ADIF/332VO01.pdf"), "332VO01KA")</f>
        <v>332VO01KA</v>
      </c>
      <c r="T748" s="63"/>
      <c r="U748" s="5"/>
      <c r="W748" s="5"/>
      <c r="X748" s="17"/>
      <c r="Y748" s="8"/>
      <c r="AC748" s="18"/>
    </row>
    <row r="749" spans="1:48">
      <c r="A749" s="1" t="s">
        <v>1061</v>
      </c>
      <c r="B749" s="1" t="s">
        <v>1087</v>
      </c>
      <c r="D749" s="1" t="s">
        <v>73</v>
      </c>
      <c r="I749" s="2" t="str">
        <f>HYPERLINK(CONCATENATE(TabelleURL!$B$1,"332_ADIF/332VO03ZI.pdf"), "332VO03/ZI")</f>
        <v>332VO03/ZI</v>
      </c>
      <c r="T749" s="63"/>
      <c r="U749" s="5"/>
      <c r="W749" s="5"/>
      <c r="X749" s="17"/>
      <c r="Y749" s="8"/>
      <c r="AC749" s="18"/>
      <c r="AI749" s="5" t="str">
        <f>HYPERLINK(CONCATENATE(TabelleURL!$B$1,"3499_Taxi/34990088.pdf"), "34990088")</f>
        <v>34990088</v>
      </c>
      <c r="AS749" s="83" t="str">
        <f>HYPERLINK(CONCATENATE(TabelleURL!$B$1,"339_MWS/B-339VO03.pdf"), "B-339VO03")</f>
        <v>B-339VO03</v>
      </c>
    </row>
    <row r="750" spans="1:48">
      <c r="A750" s="1" t="s">
        <v>1088</v>
      </c>
      <c r="B750" s="1" t="s">
        <v>1089</v>
      </c>
      <c r="C750" s="1" t="s">
        <v>225</v>
      </c>
      <c r="D750" s="1" t="s">
        <v>1090</v>
      </c>
      <c r="R750" s="66" t="s">
        <v>221</v>
      </c>
      <c r="S750" s="67" t="s">
        <v>1091</v>
      </c>
      <c r="T750" s="63">
        <v>3474768</v>
      </c>
      <c r="U750" s="5" t="s">
        <v>1092</v>
      </c>
      <c r="W750" s="5"/>
      <c r="X750" s="17"/>
      <c r="Y750" s="8"/>
      <c r="AC750" s="18"/>
    </row>
    <row r="751" spans="1:48">
      <c r="A751" s="1" t="s">
        <v>1093</v>
      </c>
      <c r="B751" s="1" t="s">
        <v>1094</v>
      </c>
      <c r="D751" s="1" t="s">
        <v>1095</v>
      </c>
      <c r="G751" s="2" t="str">
        <f>HYPERLINK(CONCATENATE(TabelleURL!$B$1,"342_ADIF/342VW01.pdf"), "342VW01/0/KA")</f>
        <v>342VW01/0/KA</v>
      </c>
      <c r="H751" s="2" t="s">
        <v>923</v>
      </c>
      <c r="I751" s="2" t="str">
        <f>HYPERLINK(CONCATENATE(TabelleURL!$B$1,"342_ADIF/342VW01ZI.pdf"), " 342VW01/ZI")</f>
        <v xml:space="preserve"> 342VW01/ZI</v>
      </c>
      <c r="M751" s="5" t="str">
        <f>HYPERLINK(CONCATENATE(TabelleURL!$B$1,"345_Signalbox/3450258.pdf"), "3450258")</f>
        <v>3450258</v>
      </c>
      <c r="N751" s="5" t="str">
        <f>HYPERLINK(CONCATENATE(TabelleURL!$B$1,"345_Signalbox/3450255-H.pdf"), "3450255-H")</f>
        <v>3450255-H</v>
      </c>
      <c r="P751" s="5" t="str">
        <f>HYPERLINK(CONCATENATE(TabelleURL!$B$1,"345_Signalbox/3450258-W.pdf"), "3450258-W")</f>
        <v>3450258-W</v>
      </c>
      <c r="R751" s="66" t="s">
        <v>221</v>
      </c>
      <c r="S751" s="67" t="str">
        <f>HYPERLINK(CONCATENATE(TabelleURL!$B$1,"344_URI2/3444755.pdf"), "B-3444757")</f>
        <v>B-3444757</v>
      </c>
      <c r="T751" s="63"/>
      <c r="U751" s="5"/>
      <c r="W751" s="5"/>
      <c r="X751" s="17"/>
      <c r="Y751" s="8"/>
      <c r="AC751" s="18"/>
      <c r="AF751" s="8" t="str">
        <f>HYPERLINK(CONCATENATE(TabelleURL!$B$1,"340_Helfer/3404700.pdf"), "B-3404700")</f>
        <v>B-3404700</v>
      </c>
      <c r="AH751" s="4" t="str">
        <f>HYPERLINK(CONCATENATE(TabelleURL!$B$1,"347_CAN2COM/3475857.pdf"), "3475857")</f>
        <v>3475857</v>
      </c>
      <c r="AI751" s="5" t="str">
        <f>HYPERLINK(CONCATENATE(TabelleURL!$B$1,"3499_Taxi/34990024.pdf"), "34990024")</f>
        <v>34990024</v>
      </c>
      <c r="AM751" s="7" t="s">
        <v>1096</v>
      </c>
      <c r="AP751" s="2"/>
      <c r="AT751" s="2"/>
    </row>
    <row r="752" spans="1:48">
      <c r="A752" s="1" t="s">
        <v>1093</v>
      </c>
      <c r="B752" s="1" t="s">
        <v>1094</v>
      </c>
      <c r="C752" s="1" t="s">
        <v>211</v>
      </c>
      <c r="D752" s="1" t="s">
        <v>25</v>
      </c>
      <c r="G752" s="2" t="str">
        <f>HYPERLINK(CONCATENATE(TabelleURL!$B$1,"342_ADIF/342VW01.pdf"), "342VW01/0/KA")</f>
        <v>342VW01/0/KA</v>
      </c>
      <c r="H752" s="2" t="s">
        <v>923</v>
      </c>
      <c r="I752" s="2" t="str">
        <f>HYPERLINK(CONCATENATE(TabelleURL!$B$1,"342_ADIF/342VW01ZI.pdf"), " 342VW01/ZI")</f>
        <v xml:space="preserve"> 342VW01/ZI</v>
      </c>
      <c r="M752" s="5" t="str">
        <f>HYPERLINK(CONCATENATE(TabelleURL!$B$1,"345_Signalbox/3450258.pdf"), "3450258")</f>
        <v>3450258</v>
      </c>
      <c r="N752" s="5" t="str">
        <f>HYPERLINK(CONCATENATE(TabelleURL!$B$1,"345_Signalbox/3450255-H.pdf"), "3450255-H")</f>
        <v>3450255-H</v>
      </c>
      <c r="P752" s="5" t="str">
        <f>HYPERLINK(CONCATENATE(TabelleURL!$B$1,"345_Signalbox/3450258-W.pdf"), "3450258-W")</f>
        <v>3450258-W</v>
      </c>
      <c r="R752" s="66" t="s">
        <v>221</v>
      </c>
      <c r="S752" s="67" t="str">
        <f>HYPERLINK(CONCATENATE(TabelleURL!$B$1,"344_URI2/3444755.pdf"), "B-3444757")</f>
        <v>B-3444757</v>
      </c>
      <c r="T752" s="63"/>
      <c r="U752" s="5"/>
      <c r="W752" s="5"/>
      <c r="X752" s="17"/>
      <c r="Y752" s="8"/>
      <c r="AC752" s="18"/>
      <c r="AF752" s="8" t="str">
        <f>HYPERLINK(CONCATENATE(TabelleURL!$B$1,"340_Helfer/3404700.pdf"), "B-3404700")</f>
        <v>B-3404700</v>
      </c>
      <c r="AH752" s="4" t="str">
        <f>HYPERLINK(CONCATENATE(TabelleURL!$B$1,"347_CAN2COM/3475857.pdf"), "3475857")</f>
        <v>3475857</v>
      </c>
      <c r="AI752" s="5" t="str">
        <f>HYPERLINK(CONCATENATE(TabelleURL!$B$1,"3499_Taxi/34990024.pdf"), "34990024")</f>
        <v>34990024</v>
      </c>
      <c r="AM752" s="7" t="s">
        <v>1096</v>
      </c>
      <c r="AP752" s="2"/>
      <c r="AS752" s="83" t="str">
        <f>HYPERLINK(CONCATENATE(TabelleURL!$B$1,"339_MWS/B-339VW04.pdf"), "B-339VW04")</f>
        <v>B-339VW04</v>
      </c>
      <c r="AT752" s="2"/>
    </row>
    <row r="753" spans="1:46">
      <c r="A753" s="1" t="s">
        <v>1093</v>
      </c>
      <c r="B753" s="1" t="s">
        <v>1426</v>
      </c>
      <c r="C753" s="1" t="s">
        <v>1427</v>
      </c>
      <c r="D753" s="1" t="s">
        <v>104</v>
      </c>
      <c r="T753" s="63"/>
      <c r="U753" s="5"/>
      <c r="W753" s="5"/>
      <c r="X753" s="17"/>
      <c r="Y753" s="8"/>
      <c r="AC753" s="18"/>
      <c r="AH753" s="4" t="str">
        <f>HYPERLINK(CONCATENATE(TabelleURL!$B$1,"347_CAN2COM/3475857.pdf"), "3475857")</f>
        <v>3475857</v>
      </c>
      <c r="AP753" s="2"/>
      <c r="AS753" s="83"/>
      <c r="AT753" s="2"/>
    </row>
    <row r="754" spans="1:46">
      <c r="A754" s="1" t="s">
        <v>1093</v>
      </c>
      <c r="B754" s="1" t="s">
        <v>1097</v>
      </c>
      <c r="C754" s="1" t="s">
        <v>1098</v>
      </c>
      <c r="D754" s="1" t="s">
        <v>86</v>
      </c>
      <c r="R754" s="66" t="s">
        <v>221</v>
      </c>
      <c r="S754" s="67" t="str">
        <f>HYPERLINK(CONCATENATE(TabelleURL!$B$1,"344_URI2/3444756.pdf"), "B-3444756")</f>
        <v>B-3444756</v>
      </c>
      <c r="T754" s="63"/>
      <c r="U754" s="5"/>
      <c r="V754" s="4" t="str">
        <f>HYPERLINK(CONCATENATE(TabelleURL!$B$1,"344_URI2/3444756.pdf"), "B-3444756")</f>
        <v>B-3444756</v>
      </c>
      <c r="W754" s="5"/>
      <c r="X754" s="17"/>
      <c r="Y754" s="8"/>
      <c r="AC754" s="18"/>
    </row>
    <row r="755" spans="1:46">
      <c r="A755" s="1" t="s">
        <v>1093</v>
      </c>
      <c r="B755" s="1" t="s">
        <v>1099</v>
      </c>
      <c r="D755" s="1" t="s">
        <v>1100</v>
      </c>
      <c r="E755" s="76" t="s">
        <v>56</v>
      </c>
      <c r="R755" s="66" t="s">
        <v>45</v>
      </c>
      <c r="S755" s="67" t="str">
        <f>HYPERLINK(CONCATENATE(TabelleURL!$B$1,"341_RC_Interface/3414704.pdf"), "B-3414704")</f>
        <v>B-3414704</v>
      </c>
      <c r="T755" s="63"/>
      <c r="U755" s="5"/>
      <c r="W755" s="5" t="s">
        <v>46</v>
      </c>
      <c r="X755" s="17"/>
      <c r="Y755" s="8"/>
      <c r="AC755" s="18"/>
    </row>
    <row r="756" spans="1:46">
      <c r="A756" s="1" t="s">
        <v>1093</v>
      </c>
      <c r="B756" s="1" t="s">
        <v>1101</v>
      </c>
      <c r="C756" s="1" t="s">
        <v>1102</v>
      </c>
      <c r="D756" s="1" t="s">
        <v>92</v>
      </c>
      <c r="G756" s="2" t="str">
        <f>HYPERLINK(CONCATENATE(TabelleURL!$B$1,"342_ADIF/342VW01.pdf"), "342VW01/0/KA")</f>
        <v>342VW01/0/KA</v>
      </c>
      <c r="H756" s="2" t="s">
        <v>923</v>
      </c>
      <c r="I756" s="2" t="str">
        <f>HYPERLINK(CONCATENATE(TabelleURL!$B$1,"342_ADIF/342VW01ZI.pdf"), " 342VW01/ZI")</f>
        <v xml:space="preserve"> 342VW01/ZI</v>
      </c>
      <c r="M756" s="5" t="str">
        <f>HYPERLINK(CONCATENATE(TabelleURL!$B$1,"345_Signalbox/3450258.pdf"), "3450258")</f>
        <v>3450258</v>
      </c>
      <c r="N756" s="5" t="str">
        <f>HYPERLINK(CONCATENATE(TabelleURL!$B$1,"345_Signalbox/3450258-H.pdf"), "3450258-H")</f>
        <v>3450258-H</v>
      </c>
      <c r="P756" s="5" t="str">
        <f>HYPERLINK(CONCATENATE(TabelleURL!$B$1,"345_Signalbox/3450258-W.pdf"), "3450258-W")</f>
        <v>3450258-W</v>
      </c>
      <c r="R756" s="66" t="s">
        <v>11</v>
      </c>
      <c r="S756" s="67" t="str">
        <f>HYPERLINK(CONCATENATE(TabelleURL!$B$1,"344_URI2/3444755.pdf"), "B-3444755")</f>
        <v>B-3444755</v>
      </c>
      <c r="T756" s="63">
        <v>3470005</v>
      </c>
      <c r="U756" s="5" t="s">
        <v>51</v>
      </c>
      <c r="V756" s="4" t="str">
        <f>HYPERLINK(CONCATENATE(TabelleURL!$B$1,"344_URI2/3444755.pdf"), "B-3444755")</f>
        <v>B-3444755</v>
      </c>
      <c r="W756" s="5"/>
      <c r="X756" s="17"/>
      <c r="Y756" s="8"/>
      <c r="AA756" s="4">
        <v>3670403</v>
      </c>
      <c r="AB756" s="2" t="s">
        <v>55</v>
      </c>
      <c r="AC756" s="18"/>
      <c r="AF756" s="8" t="str">
        <f>HYPERLINK(CONCATENATE(TabelleURL!$B$1,"340_Helfer/3404700.pdf"), "B-3404700")</f>
        <v>B-3404700</v>
      </c>
      <c r="AG756" s="2" t="str">
        <f>HYPERLINK(CONCATENATE(TabelleURL!$B$1,"340_Helfer/3404701.pdf"), "3404701")</f>
        <v>3404701</v>
      </c>
      <c r="AH756" s="4" t="str">
        <f>HYPERLINK(CONCATENATE(TabelleURL!$B$1,"347_CAN2COM/3475857.pdf"), "3475857")</f>
        <v>3475857</v>
      </c>
      <c r="AI756" s="5" t="str">
        <f>HYPERLINK(CONCATENATE(TabelleURL!$B$1,"3499_Taxi/34990050.pdf"), "34990050")</f>
        <v>34990050</v>
      </c>
      <c r="AJ756" s="5" t="str">
        <f>HYPERLINK(CONCATENATE(TabelleURL!$B$1,"3499_Taxi/34990050-1.pdf"), "34990050-1")</f>
        <v>34990050-1</v>
      </c>
      <c r="AL756" s="3" t="s">
        <v>7</v>
      </c>
      <c r="AP756" s="2" t="str">
        <f>HYPERLINK(CONCATENATE(TabelleURL!$B$1,"367/3674700.pdf"), "3674700")</f>
        <v>3674700</v>
      </c>
      <c r="AQ756" s="7" t="s">
        <v>940</v>
      </c>
      <c r="AT756" s="85"/>
    </row>
    <row r="757" spans="1:46">
      <c r="A757" s="1" t="s">
        <v>1093</v>
      </c>
      <c r="B757" s="1" t="s">
        <v>1101</v>
      </c>
      <c r="C757" s="1" t="s">
        <v>1102</v>
      </c>
      <c r="D757" s="1" t="s">
        <v>263</v>
      </c>
      <c r="G757" s="2" t="str">
        <f>HYPERLINK(CONCATENATE(TabelleURL!$B$1,"342_ADIF/342VW01.pdf"), "342VW01/0/KA")</f>
        <v>342VW01/0/KA</v>
      </c>
      <c r="H757" s="2" t="s">
        <v>923</v>
      </c>
      <c r="I757" s="2" t="str">
        <f>HYPERLINK(CONCATENATE(TabelleURL!$B$1,"342_ADIF/342VW01ZI.pdf"), " 342VW01/ZI")</f>
        <v xml:space="preserve"> 342VW01/ZI</v>
      </c>
      <c r="M757" s="5" t="str">
        <f>HYPERLINK(CONCATENATE(TabelleURL!$B$1,"345_Signalbox/3450258.pdf"), "3450258")</f>
        <v>3450258</v>
      </c>
      <c r="N757" s="5" t="str">
        <f>HYPERLINK(CONCATENATE(TabelleURL!$B$1,"345_Signalbox/3450258-H.pdf"), "3450258-H")</f>
        <v>3450258-H</v>
      </c>
      <c r="P757" s="5" t="str">
        <f>HYPERLINK(CONCATENATE(TabelleURL!$B$1,"345_Signalbox/3450258-W.pdf"), "3450258-W")</f>
        <v>3450258-W</v>
      </c>
      <c r="Q757" s="61" t="str">
        <f>HYPERLINK(CONCATENATE(TabelleURL!$B$1,"345_Signalbox/3450301.pdf"), "3450301")</f>
        <v>3450301</v>
      </c>
      <c r="R757" s="66" t="s">
        <v>221</v>
      </c>
      <c r="S757" s="67" t="str">
        <f>HYPERLINK(CONCATENATE(TabelleURL!$B$1,"344_URI2/3444756.pdf"), "B-3444756")</f>
        <v>B-3444756</v>
      </c>
      <c r="T757" s="63">
        <v>3474756</v>
      </c>
      <c r="U757" s="5" t="s">
        <v>51</v>
      </c>
      <c r="V757" s="4" t="str">
        <f>HYPERLINK(CONCATENATE(TabelleURL!$B$1,"344_URI2/3444756.pdf"), "B-3444756")</f>
        <v>B-3444756</v>
      </c>
      <c r="W757" s="5"/>
      <c r="X757" s="17"/>
      <c r="Y757" s="8"/>
      <c r="AA757" s="4">
        <v>3670403</v>
      </c>
      <c r="AB757" s="2" t="s">
        <v>55</v>
      </c>
      <c r="AC757" s="18"/>
      <c r="AE757" s="2" t="str">
        <f>HYPERLINK(CONCATENATE(TabelleURL!$B$1,"367/3674755-RVC.pdf"), "3674755-RVC")</f>
        <v>3674755-RVC</v>
      </c>
      <c r="AF757" s="8" t="str">
        <f>HYPERLINK(CONCATENATE(TabelleURL!$B$1,"340_Helfer/3404700.pdf"), "B-3404700")</f>
        <v>B-3404700</v>
      </c>
      <c r="AG757" s="2" t="str">
        <f>HYPERLINK(CONCATENATE(TabelleURL!$B$1,"340_Helfer/3404701.pdf"), "3404701")</f>
        <v>3404701</v>
      </c>
      <c r="AH757" s="4" t="str">
        <f>HYPERLINK(CONCATENATE(TabelleURL!$B$1,"347_CAN2COM/3475857.pdf"), "3475857")</f>
        <v>3475857</v>
      </c>
      <c r="AI757" s="5" t="str">
        <f>HYPERLINK(CONCATENATE(TabelleURL!$B$1,"3499_Taxi/34990050.pdf"), "34990050")</f>
        <v>34990050</v>
      </c>
      <c r="AJ757" s="5" t="str">
        <f>HYPERLINK(CONCATENATE(TabelleURL!$B$1,"3499_Taxi/34990050-1.pdf"), "34990050-1")</f>
        <v>34990050-1</v>
      </c>
      <c r="AL757" s="3" t="s">
        <v>7</v>
      </c>
      <c r="AP757" s="2" t="str">
        <f>HYPERLINK(CONCATENATE(TabelleURL!$B$1,"367/3674700.pdf"), "3674700")</f>
        <v>3674700</v>
      </c>
      <c r="AQ757" s="7" t="s">
        <v>940</v>
      </c>
      <c r="AT757" s="85"/>
    </row>
    <row r="758" spans="1:46">
      <c r="A758" s="1" t="s">
        <v>1093</v>
      </c>
      <c r="B758" s="1" t="s">
        <v>1101</v>
      </c>
      <c r="C758" s="1" t="s">
        <v>1102</v>
      </c>
      <c r="D758" s="1" t="s">
        <v>263</v>
      </c>
      <c r="E758" s="76" t="s">
        <v>924</v>
      </c>
      <c r="G758" s="2" t="str">
        <f>HYPERLINK(CONCATENATE(TabelleURL!$B$1,"342_ADIF/342VW01.pdf"), "342VW01/0/KA")</f>
        <v>342VW01/0/KA</v>
      </c>
      <c r="H758" s="2" t="s">
        <v>923</v>
      </c>
      <c r="I758" s="2" t="str">
        <f>HYPERLINK(CONCATENATE(TabelleURL!$B$1,"342_ADIF/342VW01ZI.pdf"), " 342VW01/ZI")</f>
        <v xml:space="preserve"> 342VW01/ZI</v>
      </c>
      <c r="M758" s="5" t="str">
        <f>HYPERLINK(CONCATENATE(TabelleURL!$B$1,"345_Signalbox/3450258.pdf"), "3450258")</f>
        <v>3450258</v>
      </c>
      <c r="N758" s="5" t="str">
        <f>HYPERLINK(CONCATENATE(TabelleURL!$B$1,"345_Signalbox/3450258-H.pdf"), "3450258-H")</f>
        <v>3450258-H</v>
      </c>
      <c r="P758" s="5" t="str">
        <f>HYPERLINK(CONCATENATE(TabelleURL!$B$1,"345_Signalbox/3450258-W.pdf"), "3450258-W")</f>
        <v>3450258-W</v>
      </c>
      <c r="Q758" s="61" t="str">
        <f>HYPERLINK(CONCATENATE(TabelleURL!$B$1,"345_Signalbox/3450301.pdf"), "3450301")</f>
        <v>3450301</v>
      </c>
      <c r="R758" s="66" t="s">
        <v>221</v>
      </c>
      <c r="S758" s="67" t="str">
        <f>HYPERLINK(CONCATENATE(TabelleURL!$B$1,"344_URI2/3444756.pdf"), "B-3444756")</f>
        <v>B-3444756</v>
      </c>
      <c r="T758" s="63">
        <v>3474756</v>
      </c>
      <c r="U758" s="5" t="s">
        <v>51</v>
      </c>
      <c r="V758" s="4" t="str">
        <f>HYPERLINK(CONCATENATE(TabelleURL!$B$1,"344_URI2/3444756.pdf"), "B-3444756")</f>
        <v>B-3444756</v>
      </c>
      <c r="W758" s="5"/>
      <c r="X758" s="17"/>
      <c r="Y758" s="8"/>
      <c r="AA758" s="4">
        <v>3670403</v>
      </c>
      <c r="AB758" s="2" t="s">
        <v>55</v>
      </c>
      <c r="AC758" s="18"/>
      <c r="AE758" s="2" t="str">
        <f>HYPERLINK(CONCATENATE(TabelleURL!$B$1,"367/3674755-RVC.pdf"), "3674755-RVC")</f>
        <v>3674755-RVC</v>
      </c>
      <c r="AF758" s="8" t="str">
        <f>HYPERLINK(CONCATENATE(TabelleURL!$B$1,"340_Helfer/3404700.pdf"), "B-3404700")</f>
        <v>B-3404700</v>
      </c>
      <c r="AG758" s="2" t="str">
        <f>HYPERLINK(CONCATENATE(TabelleURL!$B$1,"340_Helfer/3404701.pdf"), "3404701")</f>
        <v>3404701</v>
      </c>
      <c r="AH758" s="4" t="str">
        <f>HYPERLINK(CONCATENATE(TabelleURL!$B$1,"347_CAN2COM/3475857.pdf"), "3475857")</f>
        <v>3475857</v>
      </c>
      <c r="AI758" s="5" t="str">
        <f>HYPERLINK(CONCATENATE(TabelleURL!$B$1,"3499_Taxi/34990050.pdf"), "34990050")</f>
        <v>34990050</v>
      </c>
      <c r="AJ758" s="5" t="str">
        <f>HYPERLINK(CONCATENATE(TabelleURL!$B$1,"3499_Taxi/34990050-1.pdf"), "34990050-1")</f>
        <v>34990050-1</v>
      </c>
      <c r="AL758" s="3" t="s">
        <v>7</v>
      </c>
      <c r="AP758" s="2" t="str">
        <f>HYPERLINK(CONCATENATE(TabelleURL!$B$1,"367/3674700.pdf"), "3674700")</f>
        <v>3674700</v>
      </c>
      <c r="AQ758" s="7" t="s">
        <v>940</v>
      </c>
      <c r="AT758" s="85"/>
    </row>
    <row r="759" spans="1:46">
      <c r="A759" s="1" t="s">
        <v>1093</v>
      </c>
      <c r="B759" s="1" t="s">
        <v>1101</v>
      </c>
      <c r="D759" s="1" t="s">
        <v>73</v>
      </c>
      <c r="G759" s="2" t="str">
        <f>HYPERLINK(CONCATENATE(TabelleURL!$B$1,"342_ADIF/342VW01.pdf"), "342VW01/0/KA")</f>
        <v>342VW01/0/KA</v>
      </c>
      <c r="H759" s="2" t="s">
        <v>923</v>
      </c>
      <c r="I759" s="2" t="str">
        <f>HYPERLINK(CONCATENATE(TabelleURL!$B$1,"342_ADIF/342VW01ZI.pdf"), " 342VW01/ZI")</f>
        <v xml:space="preserve"> 342VW01/ZI</v>
      </c>
      <c r="M759" s="5" t="str">
        <f>HYPERLINK(CONCATENATE(TabelleURL!$B$1,"345_Signalbox/3450258.pdf"), "3450258")</f>
        <v>3450258</v>
      </c>
      <c r="N759" s="5" t="str">
        <f>HYPERLINK(CONCATENATE(TabelleURL!$B$1,"345_Signalbox/3450258-H.pdf"), "3450258-H")</f>
        <v>3450258-H</v>
      </c>
      <c r="P759" s="5" t="str">
        <f>HYPERLINK(CONCATENATE(TabelleURL!$B$1,"345_Signalbox/3450258-W.pdf"), "3450258-W")</f>
        <v>3450258-W</v>
      </c>
      <c r="Q759" s="61" t="str">
        <f>HYPERLINK(CONCATENATE(TabelleURL!$B$1,"345_Signalbox/3450301.pdf"), "3450301")</f>
        <v>3450301</v>
      </c>
      <c r="S759" s="67" t="str">
        <f>HYPERLINK(CONCATENATE(TabelleURL!$B$1,"344_URI2/3444755.pdf"), "B-3444757")</f>
        <v>B-3444757</v>
      </c>
      <c r="T759" s="63"/>
      <c r="U759" s="5"/>
      <c r="W759" s="5"/>
      <c r="X759" s="17"/>
      <c r="Y759" s="8"/>
      <c r="AC759" s="18"/>
      <c r="AF759" s="8" t="str">
        <f>HYPERLINK(CONCATENATE(TabelleURL!$B$1,"340_Helfer/3404700.pdf"), "B-3404700")</f>
        <v>B-3404700</v>
      </c>
      <c r="AG759" s="2"/>
      <c r="AH759" s="4" t="str">
        <f>HYPERLINK(CONCATENATE(TabelleURL!$B$1,"347_CAN2COM/3475857.pdf"), "3475857")</f>
        <v>3475857</v>
      </c>
      <c r="AI759" s="5" t="str">
        <f>HYPERLINK(CONCATENATE(TabelleURL!$B$1,"3499_Taxi/34990050.pdf"), "34990050")</f>
        <v>34990050</v>
      </c>
      <c r="AP759" s="2"/>
      <c r="AT759" s="85"/>
    </row>
    <row r="760" spans="1:46">
      <c r="A760" s="1" t="s">
        <v>1093</v>
      </c>
      <c r="B760" s="1" t="s">
        <v>1103</v>
      </c>
      <c r="D760" s="1" t="s">
        <v>1384</v>
      </c>
      <c r="E760" s="76" t="s">
        <v>1104</v>
      </c>
      <c r="F760" s="70" t="s">
        <v>1104</v>
      </c>
      <c r="S760" s="67" t="s">
        <v>1104</v>
      </c>
      <c r="T760" s="63"/>
      <c r="U760" s="5"/>
      <c r="W760" s="5"/>
      <c r="X760" s="17"/>
      <c r="Y760" s="8"/>
      <c r="AC760" s="18"/>
      <c r="AG760" s="2" t="str">
        <f>HYPERLINK(CONCATENATE(TabelleURL!$B$1,"340_Helfer/3404701.pdf"), "3404701")</f>
        <v>3404701</v>
      </c>
    </row>
    <row r="761" spans="1:46">
      <c r="A761" s="1" t="s">
        <v>1093</v>
      </c>
      <c r="B761" s="1" t="s">
        <v>1103</v>
      </c>
      <c r="D761" s="82" t="s">
        <v>25</v>
      </c>
      <c r="G761" s="2" t="str">
        <f>HYPERLINK(CONCATENATE(TabelleURL!$B$1,"332_ADIF/332VW05.pdf"), "332VW05KA")</f>
        <v>332VW05KA</v>
      </c>
      <c r="I761" s="2" t="str">
        <f>HYPERLINK(CONCATENATE(TabelleURL!$B$1,"332_ADIF/332VW05ZI.pdf"), "332VW05/0/ZI")</f>
        <v>332VW05/0/ZI</v>
      </c>
      <c r="M761" s="5" t="str">
        <f>HYPERLINK(CONCATENATE(TabelleURL!$B$1,"345_Signalbox/3450276.pdf"), "3450276")</f>
        <v>3450276</v>
      </c>
      <c r="P761" s="5" t="str">
        <f>HYPERLINK(CONCATENATE(TabelleURL!$B$1,"345_Signalbox/3450276-W.pdf"), "3450276-W")</f>
        <v>3450276-W</v>
      </c>
      <c r="T761" s="63"/>
      <c r="U761" s="5"/>
      <c r="W761" s="5"/>
      <c r="X761" s="17"/>
      <c r="Y761" s="8"/>
      <c r="AC761" s="18"/>
      <c r="AF761" s="8" t="str">
        <f>HYPERLINK(CONCATENATE(TabelleURL!$B$1,"340_Helfer/3404700.pdf"), "B-3404700")</f>
        <v>B-3404700</v>
      </c>
      <c r="AG761" s="2" t="str">
        <f>HYPERLINK(CONCATENATE(TabelleURL!$B$1,"340_Helfer/3404701.pdf"), "3404701")</f>
        <v>3404701</v>
      </c>
      <c r="AH761" s="4" t="str">
        <f>HYPERLINK(CONCATENATE(TabelleURL!$B$1,"347_CAN2COM/3475857.pdf"), "3475857")</f>
        <v>3475857</v>
      </c>
      <c r="AS761" s="83" t="str">
        <f>HYPERLINK(CONCATENATE(TabelleURL!$B$1,"339_MWS/B-339VW01.pdf"), "B-339VW01")</f>
        <v>B-339VW01</v>
      </c>
      <c r="AT761" s="2" t="str">
        <f>HYPERLINK(CONCATENATE(TabelleURL!$B$1,"340_Helfer/3406857.pdf"), "B-3406857")</f>
        <v>B-3406857</v>
      </c>
    </row>
    <row r="762" spans="1:46">
      <c r="A762" s="1" t="s">
        <v>1093</v>
      </c>
      <c r="B762" s="1" t="s">
        <v>1105</v>
      </c>
      <c r="C762" s="1" t="s">
        <v>1106</v>
      </c>
      <c r="D762" s="1" t="s">
        <v>8</v>
      </c>
      <c r="G762" s="2" t="str">
        <f>HYPERLINK(CONCATENATE(TabelleURL!$B$1,"342_ADIF/342VW01.pdf"), "342VW01/0/KA")</f>
        <v>342VW01/0/KA</v>
      </c>
      <c r="H762" s="2" t="s">
        <v>923</v>
      </c>
      <c r="I762" s="2" t="str">
        <f>HYPERLINK(CONCATENATE(TabelleURL!$B$1,"342_ADIF/342VW01ZI.pdf"), " 342VW01/ZI")</f>
        <v xml:space="preserve"> 342VW01/ZI</v>
      </c>
      <c r="M762" s="5" t="str">
        <f>HYPERLINK(CONCATENATE(TabelleURL!$B$1,"345_Signalbox/3450258.pdf"), "3450258")</f>
        <v>3450258</v>
      </c>
      <c r="N762" s="5" t="str">
        <f>HYPERLINK(CONCATENATE(TabelleURL!$B$1,"345_Signalbox/3450258-H.pdf"), "3450258-H")</f>
        <v>3450258-H</v>
      </c>
      <c r="P762" s="5" t="str">
        <f>HYPERLINK(CONCATENATE(TabelleURL!$B$1,"345_Signalbox/3450258-W.pdf"), "3450258-W")</f>
        <v>3450258-W</v>
      </c>
      <c r="R762" s="66" t="s">
        <v>11</v>
      </c>
      <c r="S762" s="67" t="str">
        <f>HYPERLINK(CONCATENATE(TabelleURL!$B$1,"344_URI2/3444755.pdf"), "B-3444755")</f>
        <v>B-3444755</v>
      </c>
      <c r="T762" s="63">
        <v>3470005</v>
      </c>
      <c r="U762" s="5" t="s">
        <v>51</v>
      </c>
      <c r="V762" s="4" t="str">
        <f>HYPERLINK(CONCATENATE(TabelleURL!$B$1,"344_URI2/3444755.pdf"), "B-3444755")</f>
        <v>B-3444755</v>
      </c>
      <c r="W762" s="5"/>
      <c r="X762" s="17"/>
      <c r="Y762" s="8"/>
      <c r="AA762" s="4">
        <v>3670403</v>
      </c>
      <c r="AB762" s="2" t="s">
        <v>55</v>
      </c>
      <c r="AC762" s="18"/>
      <c r="AF762" s="8" t="str">
        <f>HYPERLINK(CONCATENATE(TabelleURL!$B$1,"340_Helfer/3404700.pdf"), "B-3404700")</f>
        <v>B-3404700</v>
      </c>
      <c r="AG762" s="2" t="str">
        <f>HYPERLINK(CONCATENATE(TabelleURL!$B$1,"340_Helfer/3404701.pdf"), "3404701")</f>
        <v>3404701</v>
      </c>
      <c r="AH762" s="4" t="str">
        <f>HYPERLINK(CONCATENATE(TabelleURL!$B$1,"347_CAN2COM/3475857.pdf"), "3475857")</f>
        <v>3475857</v>
      </c>
      <c r="AI762" s="5" t="str">
        <f>HYPERLINK(CONCATENATE(TabelleURL!$B$1,"3499_Taxi/34990050.pdf"), "34990050")</f>
        <v>34990050</v>
      </c>
      <c r="AL762" s="3" t="s">
        <v>7</v>
      </c>
      <c r="AP762" s="2" t="str">
        <f>HYPERLINK(CONCATENATE(TabelleURL!$B$1,"367/3674700.pdf"), "3674700")</f>
        <v>3674700</v>
      </c>
      <c r="AT762" s="85"/>
    </row>
    <row r="763" spans="1:46">
      <c r="A763" s="1" t="s">
        <v>1093</v>
      </c>
      <c r="B763" s="1" t="s">
        <v>1105</v>
      </c>
      <c r="C763" s="1" t="s">
        <v>1106</v>
      </c>
      <c r="D763" s="1" t="s">
        <v>27</v>
      </c>
      <c r="G763" s="2" t="str">
        <f>HYPERLINK(CONCATENATE(TabelleURL!$B$1,"342_ADIF/342VW01.pdf"), "342VW01/0/KA")</f>
        <v>342VW01/0/KA</v>
      </c>
      <c r="H763" s="2" t="s">
        <v>923</v>
      </c>
      <c r="I763" s="2" t="str">
        <f>HYPERLINK(CONCATENATE(TabelleURL!$B$1,"342_ADIF/342VW01ZI.pdf"), " 342VW01/ZI")</f>
        <v xml:space="preserve"> 342VW01/ZI</v>
      </c>
      <c r="M763" s="5" t="str">
        <f>HYPERLINK(CONCATENATE(TabelleURL!$B$1,"345_Signalbox/3450258.pdf"), "3450258")</f>
        <v>3450258</v>
      </c>
      <c r="N763" s="5" t="str">
        <f>HYPERLINK(CONCATENATE(TabelleURL!$B$1,"345_Signalbox/3450258-H.pdf"), "3450258-H")</f>
        <v>3450258-H</v>
      </c>
      <c r="P763" s="5" t="str">
        <f>HYPERLINK(CONCATENATE(TabelleURL!$B$1,"345_Signalbox/3450258-W.pdf"), "3450258-W")</f>
        <v>3450258-W</v>
      </c>
      <c r="R763" s="66" t="s">
        <v>221</v>
      </c>
      <c r="S763" s="67" t="str">
        <f>HYPERLINK(CONCATENATE(TabelleURL!$B$1,"344_URI2/3444756.pdf"), "B-3444756")</f>
        <v>B-3444756</v>
      </c>
      <c r="T763" s="63">
        <v>3474756</v>
      </c>
      <c r="U763" s="5" t="s">
        <v>51</v>
      </c>
      <c r="V763" s="4" t="str">
        <f>HYPERLINK(CONCATENATE(TabelleURL!$B$1,"344_URI2/3444756.pdf"), "B-3444756")</f>
        <v>B-3444756</v>
      </c>
      <c r="W763" s="5"/>
      <c r="X763" s="17"/>
      <c r="Y763" s="8"/>
      <c r="AA763" s="4">
        <v>3670403</v>
      </c>
      <c r="AB763" s="2" t="s">
        <v>55</v>
      </c>
      <c r="AC763" s="18"/>
      <c r="AE763" s="2" t="str">
        <f>HYPERLINK(CONCATENATE(TabelleURL!$B$1,"367/3674755-RVC.pdf"), "3674755-RVC")</f>
        <v>3674755-RVC</v>
      </c>
      <c r="AF763" s="8" t="str">
        <f>HYPERLINK(CONCATENATE(TabelleURL!$B$1,"340_Helfer/3404700.pdf"), "B-3404700")</f>
        <v>B-3404700</v>
      </c>
      <c r="AG763" s="2" t="str">
        <f>HYPERLINK(CONCATENATE(TabelleURL!$B$1,"340_Helfer/3404701.pdf"), "3404701")</f>
        <v>3404701</v>
      </c>
      <c r="AH763" s="4" t="str">
        <f>HYPERLINK(CONCATENATE(TabelleURL!$B$1,"347_CAN2COM/3475857.pdf"), "3475857")</f>
        <v>3475857</v>
      </c>
      <c r="AI763" s="5" t="str">
        <f>HYPERLINK(CONCATENATE(TabelleURL!$B$1,"3499_Taxi/34990050.pdf"), "34990050")</f>
        <v>34990050</v>
      </c>
      <c r="AL763" s="3" t="s">
        <v>7</v>
      </c>
      <c r="AP763" s="2" t="str">
        <f>HYPERLINK(CONCATENATE(TabelleURL!$B$1,"367/3674700.pdf"), "3674700")</f>
        <v>3674700</v>
      </c>
      <c r="AQ763" s="7" t="s">
        <v>940</v>
      </c>
      <c r="AT763" s="85"/>
    </row>
    <row r="764" spans="1:46">
      <c r="A764" s="1" t="s">
        <v>1093</v>
      </c>
      <c r="B764" s="1" t="s">
        <v>1105</v>
      </c>
      <c r="C764" s="1" t="s">
        <v>1106</v>
      </c>
      <c r="D764" s="1" t="s">
        <v>27</v>
      </c>
      <c r="E764" s="76" t="s">
        <v>924</v>
      </c>
      <c r="G764" s="2" t="str">
        <f>HYPERLINK(CONCATENATE(TabelleURL!$B$1,"342_ADIF/342VW01.pdf"), "342VW01/0/KA")</f>
        <v>342VW01/0/KA</v>
      </c>
      <c r="H764" s="2" t="s">
        <v>923</v>
      </c>
      <c r="I764" s="2" t="str">
        <f>HYPERLINK(CONCATENATE(TabelleURL!$B$1,"342_ADIF/342VW01ZI.pdf"), " 342VW01/ZI")</f>
        <v xml:space="preserve"> 342VW01/ZI</v>
      </c>
      <c r="M764" s="5" t="str">
        <f>HYPERLINK(CONCATENATE(TabelleURL!$B$1,"345_Signalbox/3450258.pdf"), "3450258")</f>
        <v>3450258</v>
      </c>
      <c r="N764" s="5" t="str">
        <f>HYPERLINK(CONCATENATE(TabelleURL!$B$1,"345_Signalbox/3450258-H.pdf"), "3450258-H")</f>
        <v>3450258-H</v>
      </c>
      <c r="P764" s="5" t="str">
        <f>HYPERLINK(CONCATENATE(TabelleURL!$B$1,"345_Signalbox/3450258-W.pdf"), "3450258-W")</f>
        <v>3450258-W</v>
      </c>
      <c r="R764" s="66" t="s">
        <v>221</v>
      </c>
      <c r="S764" s="67" t="str">
        <f>HYPERLINK(CONCATENATE(TabelleURL!$B$1,"344_URI2/3444756.pdf"), "B-3444756")</f>
        <v>B-3444756</v>
      </c>
      <c r="T764" s="63">
        <v>3474756</v>
      </c>
      <c r="U764" s="5" t="s">
        <v>51</v>
      </c>
      <c r="V764" s="4" t="str">
        <f>HYPERLINK(CONCATENATE(TabelleURL!$B$1,"344_URI2/3444756.pdf"), "B-3444756")</f>
        <v>B-3444756</v>
      </c>
      <c r="W764" s="5"/>
      <c r="X764" s="17"/>
      <c r="Y764" s="8"/>
      <c r="AA764" s="4">
        <v>3670403</v>
      </c>
      <c r="AB764" s="2" t="s">
        <v>55</v>
      </c>
      <c r="AC764" s="18"/>
      <c r="AE764" s="2" t="str">
        <f>HYPERLINK(CONCATENATE(TabelleURL!$B$1,"367/3674755-RVC.pdf"), "3674755-RVC")</f>
        <v>3674755-RVC</v>
      </c>
      <c r="AF764" s="8" t="str">
        <f>HYPERLINK(CONCATENATE(TabelleURL!$B$1,"340_Helfer/3404700.pdf"), "B-3404700")</f>
        <v>B-3404700</v>
      </c>
      <c r="AG764" s="2" t="str">
        <f>HYPERLINK(CONCATENATE(TabelleURL!$B$1,"340_Helfer/3404701.pdf"), "3404701")</f>
        <v>3404701</v>
      </c>
      <c r="AH764" s="4" t="str">
        <f>HYPERLINK(CONCATENATE(TabelleURL!$B$1,"347_CAN2COM/3475857.pdf"), "3475857")</f>
        <v>3475857</v>
      </c>
      <c r="AI764" s="5" t="str">
        <f>HYPERLINK(CONCATENATE(TabelleURL!$B$1,"3499_Taxi/34990050.pdf"), "34990050")</f>
        <v>34990050</v>
      </c>
      <c r="AL764" s="3" t="s">
        <v>7</v>
      </c>
      <c r="AP764" s="2" t="str">
        <f>HYPERLINK(CONCATENATE(TabelleURL!$B$1,"367/3674700.pdf"), "3674700")</f>
        <v>3674700</v>
      </c>
      <c r="AT764" s="85"/>
    </row>
    <row r="765" spans="1:46">
      <c r="A765" s="1" t="s">
        <v>1093</v>
      </c>
      <c r="B765" s="1" t="s">
        <v>1107</v>
      </c>
      <c r="D765" s="1" t="s">
        <v>119</v>
      </c>
      <c r="G765" s="2" t="str">
        <f>HYPERLINK(CONCATENATE(TabelleURL!$B$1,"342_ADIF/342VW01.pdf"), "342VW01/0/KA")</f>
        <v>342VW01/0/KA</v>
      </c>
      <c r="H765" s="2" t="s">
        <v>923</v>
      </c>
      <c r="I765" s="2" t="str">
        <f>HYPERLINK(CONCATENATE(TabelleURL!$B$1,"342_ADIF/342VW01ZI.pdf"), " 342VW01/ZI")</f>
        <v xml:space="preserve"> 342VW01/ZI</v>
      </c>
      <c r="T765" s="63"/>
      <c r="U765" s="5"/>
      <c r="W765" s="5"/>
      <c r="X765" s="17"/>
      <c r="Y765" s="8"/>
      <c r="AC765" s="18"/>
    </row>
    <row r="766" spans="1:46">
      <c r="A766" s="1" t="s">
        <v>1093</v>
      </c>
      <c r="B766" s="1" t="s">
        <v>1108</v>
      </c>
      <c r="C766" s="1" t="s">
        <v>1428</v>
      </c>
      <c r="D766" s="1" t="s">
        <v>1100</v>
      </c>
      <c r="E766" s="76" t="s">
        <v>56</v>
      </c>
      <c r="R766" s="66" t="s">
        <v>45</v>
      </c>
      <c r="S766" s="67" t="str">
        <f>HYPERLINK(CONCATENATE(TabelleURL!$B$1,"341_RC_Interface/3414704.pdf"), "B-3414704")</f>
        <v>B-3414704</v>
      </c>
      <c r="T766" s="63"/>
      <c r="U766" s="5"/>
      <c r="W766" s="5" t="s">
        <v>46</v>
      </c>
      <c r="X766" s="17"/>
      <c r="Y766" s="8"/>
      <c r="AC766" s="18"/>
    </row>
    <row r="767" spans="1:46">
      <c r="A767" s="1" t="s">
        <v>1093</v>
      </c>
      <c r="B767" s="1" t="s">
        <v>1109</v>
      </c>
      <c r="C767" s="1" t="s">
        <v>1110</v>
      </c>
      <c r="D767" s="1" t="s">
        <v>784</v>
      </c>
      <c r="G767" s="2" t="str">
        <f>HYPERLINK(CONCATENATE(TabelleURL!$B$1,"342_ADIF/342VW01.pdf"), "342VW01/0/KA")</f>
        <v>342VW01/0/KA</v>
      </c>
      <c r="H767" s="2" t="s">
        <v>923</v>
      </c>
      <c r="I767" s="2" t="str">
        <f>HYPERLINK(CONCATENATE(TabelleURL!$B$1,"342_ADIF/342VW01ZI.pdf"), " 342VW01/ZI")</f>
        <v xml:space="preserve"> 342VW01/ZI</v>
      </c>
      <c r="M767" s="5" t="str">
        <f>HYPERLINK(CONCATENATE(TabelleURL!$B$1,"345_Signalbox/3450258.pdf"), "3450258")</f>
        <v>3450258</v>
      </c>
      <c r="N767" s="5" t="str">
        <f>HYPERLINK(CONCATENATE(TabelleURL!$B$1,"345_Signalbox/3450258-H.pdf"), "3450258-H")</f>
        <v>3450258-H</v>
      </c>
      <c r="P767" s="5" t="str">
        <f>HYPERLINK(CONCATENATE(TabelleURL!$B$1,"345_Signalbox/3450258-W.pdf"), "3450258-W")</f>
        <v>3450258-W</v>
      </c>
      <c r="R767" s="66" t="s">
        <v>11</v>
      </c>
      <c r="S767" s="67" t="str">
        <f>HYPERLINK(CONCATENATE(TabelleURL!$B$1,"344_URI2/3444755.pdf"), "B-3444755")</f>
        <v>B-3444755</v>
      </c>
      <c r="T767" s="63">
        <v>3470005</v>
      </c>
      <c r="U767" s="5" t="s">
        <v>51</v>
      </c>
      <c r="V767" s="4" t="str">
        <f>HYPERLINK(CONCATENATE(TabelleURL!$B$1,"344_URI2/3444755.pdf"), "B-3444755")</f>
        <v>B-3444755</v>
      </c>
      <c r="W767" s="5"/>
      <c r="X767" s="17"/>
      <c r="Y767" s="8"/>
      <c r="AA767" s="4">
        <v>3670403</v>
      </c>
      <c r="AB767" s="2" t="s">
        <v>55</v>
      </c>
      <c r="AC767" s="18"/>
      <c r="AF767" s="8" t="str">
        <f>HYPERLINK(CONCATENATE(TabelleURL!$B$1,"340_Helfer/3404700.pdf"), "B-3404700")</f>
        <v>B-3404700</v>
      </c>
      <c r="AG767" s="2" t="str">
        <f>HYPERLINK(CONCATENATE(TabelleURL!$B$1,"340_Helfer/3404701.pdf"), "3404701")</f>
        <v>3404701</v>
      </c>
      <c r="AH767" s="4" t="str">
        <f>HYPERLINK(CONCATENATE(TabelleURL!$B$1,"347_CAN2COM/3475857.pdf"), "3475857")</f>
        <v>3475857</v>
      </c>
      <c r="AI767" s="5" t="str">
        <f>HYPERLINK(CONCATENATE(TabelleURL!$B$1,"3499_Taxi/34990050.pdf"), "34990050")</f>
        <v>34990050</v>
      </c>
      <c r="AL767" s="3" t="s">
        <v>7</v>
      </c>
      <c r="AP767" s="2" t="str">
        <f>HYPERLINK(CONCATENATE(TabelleURL!$B$1,"367/3674700.pdf"), "3674700")</f>
        <v>3674700</v>
      </c>
      <c r="AQ767" s="7" t="s">
        <v>940</v>
      </c>
      <c r="AR767" s="3" t="s">
        <v>1111</v>
      </c>
    </row>
    <row r="768" spans="1:46">
      <c r="A768" s="1" t="s">
        <v>1093</v>
      </c>
      <c r="B768" s="1" t="s">
        <v>1112</v>
      </c>
      <c r="C768" s="1" t="s">
        <v>1110</v>
      </c>
      <c r="D768" s="1" t="s">
        <v>29</v>
      </c>
      <c r="G768" s="2" t="str">
        <f>HYPERLINK(CONCATENATE(TabelleURL!$B$1,"342_ADIF/342VW01.pdf"), "342VW01/0/KA")</f>
        <v>342VW01/0/KA</v>
      </c>
      <c r="H768" s="2" t="s">
        <v>923</v>
      </c>
      <c r="I768" s="2" t="str">
        <f>HYPERLINK(CONCATENATE(TabelleURL!$B$1,"342_ADIF/342VW01ZI.pdf"), " 342VW01/ZI")</f>
        <v xml:space="preserve"> 342VW01/ZI</v>
      </c>
      <c r="M768" s="5" t="str">
        <f>HYPERLINK(CONCATENATE(TabelleURL!$B$1,"345_Signalbox/3450258.pdf"), "3450258")</f>
        <v>3450258</v>
      </c>
      <c r="N768" s="5" t="str">
        <f>HYPERLINK(CONCATENATE(TabelleURL!$B$1,"345_Signalbox/3450258-H.pdf"), "3450258-H")</f>
        <v>3450258-H</v>
      </c>
      <c r="P768" s="5" t="str">
        <f>HYPERLINK(CONCATENATE(TabelleURL!$B$1,"345_Signalbox/3450258-W.pdf"), "3450258-W")</f>
        <v>3450258-W</v>
      </c>
      <c r="R768" s="66" t="s">
        <v>221</v>
      </c>
      <c r="S768" s="67" t="str">
        <f>HYPERLINK(CONCATENATE(TabelleURL!$B$1,"344_URI2/3444756.pdf"), "B-3444756")</f>
        <v>B-3444756</v>
      </c>
      <c r="T768" s="63">
        <v>3470005</v>
      </c>
      <c r="U768" s="5" t="s">
        <v>51</v>
      </c>
      <c r="V768" s="4" t="str">
        <f>HYPERLINK(CONCATENATE(TabelleURL!$B$1,"344_URI2/3444756.pdf"), "B-3444756")</f>
        <v>B-3444756</v>
      </c>
      <c r="W768" s="5"/>
      <c r="X768" s="17"/>
      <c r="Y768" s="8"/>
      <c r="AA768" s="4">
        <v>3670403</v>
      </c>
      <c r="AB768" s="2" t="s">
        <v>55</v>
      </c>
      <c r="AC768" s="18"/>
      <c r="AF768" s="8" t="str">
        <f>HYPERLINK(CONCATENATE(TabelleURL!$B$1,"340_Helfer/3404700.pdf"), "B-3404700")</f>
        <v>B-3404700</v>
      </c>
      <c r="AG768" s="2" t="str">
        <f>HYPERLINK(CONCATENATE(TabelleURL!$B$1,"340_Helfer/3404701.pdf"), "3404701")</f>
        <v>3404701</v>
      </c>
      <c r="AH768" s="4" t="str">
        <f>HYPERLINK(CONCATENATE(TabelleURL!$B$1,"347_CAN2COM/3475857.pdf"), "3475857")</f>
        <v>3475857</v>
      </c>
      <c r="AI768" s="5" t="str">
        <f>HYPERLINK(CONCATENATE(TabelleURL!$B$1,"3499_Taxi/34990050.pdf"), "34990050")</f>
        <v>34990050</v>
      </c>
      <c r="AL768" s="3" t="s">
        <v>7</v>
      </c>
      <c r="AP768" s="2" t="str">
        <f>HYPERLINK(CONCATENATE(TabelleURL!$B$1,"367/3674700.pdf"), "3674700")</f>
        <v>3674700</v>
      </c>
      <c r="AR768" s="3" t="s">
        <v>1113</v>
      </c>
      <c r="AT768" s="85"/>
    </row>
    <row r="769" spans="1:46">
      <c r="A769" s="1" t="s">
        <v>1093</v>
      </c>
      <c r="B769" s="1" t="s">
        <v>1112</v>
      </c>
      <c r="C769" s="1" t="s">
        <v>1110</v>
      </c>
      <c r="D769" s="1" t="s">
        <v>29</v>
      </c>
      <c r="E769" s="76" t="s">
        <v>924</v>
      </c>
      <c r="G769" s="2" t="str">
        <f>HYPERLINK(CONCATENATE(TabelleURL!$B$1,"342_ADIF/342VW01.pdf"), "342VW01/0/KA")</f>
        <v>342VW01/0/KA</v>
      </c>
      <c r="H769" s="2" t="s">
        <v>923</v>
      </c>
      <c r="I769" s="2" t="str">
        <f>HYPERLINK(CONCATENATE(TabelleURL!$B$1,"342_ADIF/342VW01ZI.pdf"), " 342VW01/ZI")</f>
        <v xml:space="preserve"> 342VW01/ZI</v>
      </c>
      <c r="M769" s="5" t="str">
        <f>HYPERLINK(CONCATENATE(TabelleURL!$B$1,"345_Signalbox/3450258.pdf"), "3450258")</f>
        <v>3450258</v>
      </c>
      <c r="N769" s="5" t="str">
        <f>HYPERLINK(CONCATENATE(TabelleURL!$B$1,"345_Signalbox/3450258-H.pdf"), "3450258-H")</f>
        <v>3450258-H</v>
      </c>
      <c r="P769" s="5" t="str">
        <f>HYPERLINK(CONCATENATE(TabelleURL!$B$1,"345_Signalbox/3450258-W.pdf"), "3450258-W")</f>
        <v>3450258-W</v>
      </c>
      <c r="R769" s="66" t="s">
        <v>221</v>
      </c>
      <c r="S769" s="67" t="str">
        <f>HYPERLINK(CONCATENATE(TabelleURL!$B$1,"344_URI2/3444756.pdf"), "B-3444756")</f>
        <v>B-3444756</v>
      </c>
      <c r="T769" s="63">
        <v>3474756</v>
      </c>
      <c r="U769" s="5" t="s">
        <v>51</v>
      </c>
      <c r="V769" s="4" t="str">
        <f>HYPERLINK(CONCATENATE(TabelleURL!$B$1,"344_URI2/3444756.pdf"), "B-3444756")</f>
        <v>B-3444756</v>
      </c>
      <c r="W769" s="5"/>
      <c r="X769" s="17"/>
      <c r="Y769" s="8"/>
      <c r="AA769" s="4">
        <v>3670403</v>
      </c>
      <c r="AB769" s="2" t="s">
        <v>55</v>
      </c>
      <c r="AC769" s="18"/>
      <c r="AF769" s="8" t="str">
        <f>HYPERLINK(CONCATENATE(TabelleURL!$B$1,"340_Helfer/3404700.pdf"), "B-3404700")</f>
        <v>B-3404700</v>
      </c>
      <c r="AG769" s="2" t="str">
        <f>HYPERLINK(CONCATENATE(TabelleURL!$B$1,"340_Helfer/3404701.pdf"), "3404701")</f>
        <v>3404701</v>
      </c>
      <c r="AH769" s="4" t="str">
        <f>HYPERLINK(CONCATENATE(TabelleURL!$B$1,"347_CAN2COM/3475857.pdf"), "3475857")</f>
        <v>3475857</v>
      </c>
      <c r="AI769" s="5" t="str">
        <f>HYPERLINK(CONCATENATE(TabelleURL!$B$1,"3499_Taxi/34990050.pdf"), "34990050")</f>
        <v>34990050</v>
      </c>
      <c r="AL769" s="3" t="s">
        <v>7</v>
      </c>
      <c r="AP769" s="2" t="str">
        <f>HYPERLINK(CONCATENATE(TabelleURL!$B$1,"367/3674700.pdf"), "3674700")</f>
        <v>3674700</v>
      </c>
      <c r="AR769" s="3" t="s">
        <v>1113</v>
      </c>
      <c r="AT769" s="85"/>
    </row>
    <row r="770" spans="1:46">
      <c r="A770" s="1" t="s">
        <v>1093</v>
      </c>
      <c r="B770" s="1" t="s">
        <v>1114</v>
      </c>
      <c r="C770" s="1" t="s">
        <v>1115</v>
      </c>
      <c r="D770" s="1" t="s">
        <v>61</v>
      </c>
      <c r="F770" s="72"/>
      <c r="G770" s="2" t="str">
        <f>HYPERLINK(CONCATENATE(TabelleURL!$B$1,"332_ADIF/332VW05.pdf"), "332VW05KA")</f>
        <v>332VW05KA</v>
      </c>
      <c r="I770" s="2" t="str">
        <f>HYPERLINK(CONCATENATE(TabelleURL!$B$1,"342_ADIF/342VW05ZI.pdf"), "342VW05/0/ZI")</f>
        <v>342VW05/0/ZI</v>
      </c>
      <c r="M770" s="5" t="str">
        <f>HYPERLINK(CONCATENATE(TabelleURL!$B$1,"345_Signalbox/3450276.pdf"), "3450276")</f>
        <v>3450276</v>
      </c>
      <c r="P770" s="5" t="str">
        <f>HYPERLINK(CONCATENATE(TabelleURL!$B$1,"345_Signalbox/3450276-W.pdf"), "3450276-W")</f>
        <v>3450276-W</v>
      </c>
      <c r="T770" s="63"/>
      <c r="U770" s="5"/>
      <c r="W770" s="5"/>
      <c r="X770" s="17"/>
      <c r="Y770" s="8"/>
      <c r="AC770" s="18"/>
      <c r="AF770" s="8" t="str">
        <f>HYPERLINK(CONCATENATE(TabelleURL!$B$1,"340_Helfer/3404700.pdf"), "B-3404700")</f>
        <v>B-3404700</v>
      </c>
      <c r="AG770" s="2" t="str">
        <f>HYPERLINK(CONCATENATE(TabelleURL!$B$1,"340_Helfer/3404701.pdf"), "3404701")</f>
        <v>3404701</v>
      </c>
      <c r="AH770" s="4" t="str">
        <f>HYPERLINK(CONCATENATE(TabelleURL!$B$1,"347_CAN2COM/3475857.pdf"), "3475857")</f>
        <v>3475857</v>
      </c>
      <c r="AI770" s="5" t="str">
        <f>HYPERLINK(CONCATENATE(TabelleURL!$B$1,"3499_Taxi/34990083.pdf"), "34990083")</f>
        <v>34990083</v>
      </c>
      <c r="AP770" s="2" t="str">
        <f>HYPERLINK(CONCATENATE(TabelleURL!$B$1,"367/3674700.pdf"), "3674700")</f>
        <v>3674700</v>
      </c>
      <c r="AR770" s="3" t="s">
        <v>929</v>
      </c>
      <c r="AS770" s="83" t="str">
        <f>HYPERLINK(CONCATENATE(TabelleURL!$B$1,"339_MWS/B-339VW01.pdf"), "B-339VW01")</f>
        <v>B-339VW01</v>
      </c>
      <c r="AT770" s="2" t="str">
        <f>HYPERLINK(CONCATENATE(TabelleURL!$B$1,"340_Helfer/3406857.pdf"), "B-3406857")</f>
        <v>B-3406857</v>
      </c>
    </row>
    <row r="771" spans="1:46">
      <c r="A771" s="1" t="s">
        <v>1093</v>
      </c>
      <c r="B771" s="1" t="s">
        <v>1114</v>
      </c>
      <c r="C771" s="1" t="s">
        <v>1115</v>
      </c>
      <c r="D771" s="1" t="s">
        <v>61</v>
      </c>
      <c r="F771" s="72"/>
      <c r="G771" s="2" t="str">
        <f>HYPERLINK(CONCATENATE(TabelleURL!$B$1,"332_ADIF/332VW05.pdf"), "332VW05KA")</f>
        <v>332VW05KA</v>
      </c>
      <c r="I771" s="2" t="str">
        <f>HYPERLINK(CONCATENATE(TabelleURL!$B$1,"342_ADIF/342VW05ZI.pdf"), "342VW05/0/ZI")</f>
        <v>342VW05/0/ZI</v>
      </c>
      <c r="M771" s="5" t="str">
        <f>HYPERLINK(CONCATENATE(TabelleURL!$B$1,"345_Signalbox/3450276.pdf"), "3450276")</f>
        <v>3450276</v>
      </c>
      <c r="P771" s="5" t="str">
        <f>HYPERLINK(CONCATENATE(TabelleURL!$B$1,"345_Signalbox/3450276-W.pdf"), "3450276-W")</f>
        <v>3450276-W</v>
      </c>
      <c r="T771" s="63"/>
      <c r="U771" s="5"/>
      <c r="W771" s="5"/>
      <c r="X771" s="17"/>
      <c r="Y771" s="8"/>
      <c r="AC771" s="18"/>
      <c r="AF771" s="8" t="str">
        <f>HYPERLINK(CONCATENATE(TabelleURL!$B$1,"340_Helfer/3404700.pdf"), "B-3404700")</f>
        <v>B-3404700</v>
      </c>
      <c r="AG771" s="2" t="str">
        <f>HYPERLINK(CONCATENATE(TabelleURL!$B$1,"340_Helfer/3404701.pdf"), "3404701")</f>
        <v>3404701</v>
      </c>
      <c r="AH771" s="4" t="str">
        <f>HYPERLINK(CONCATENATE(TabelleURL!$B$1,"347_CAN2COM/3475857.pdf"), "3475857")</f>
        <v>3475857</v>
      </c>
      <c r="AI771" s="5" t="str">
        <f>HYPERLINK(CONCATENATE(TabelleURL!$B$1,"3499_Taxi/34990083.pdf"), "34990083")</f>
        <v>34990083</v>
      </c>
      <c r="AP771" s="2" t="str">
        <f>HYPERLINK(CONCATENATE(TabelleURL!$B$1,"367/3674700.pdf"), "3674700")</f>
        <v>3674700</v>
      </c>
      <c r="AR771" s="3" t="s">
        <v>929</v>
      </c>
      <c r="AS771" s="83" t="str">
        <f>HYPERLINK(CONCATENATE(TabelleURL!$B$1,"339_MWS/B-339VW02.pdf"), "B-339VW02")</f>
        <v>B-339VW02</v>
      </c>
      <c r="AT771" s="2" t="str">
        <f>HYPERLINK(CONCATENATE(TabelleURL!$B$1,"340_Helfer/3406857.pdf"), "B-3406857")</f>
        <v>B-3406857</v>
      </c>
    </row>
    <row r="772" spans="1:46">
      <c r="A772" s="1" t="s">
        <v>1093</v>
      </c>
      <c r="B772" s="1" t="s">
        <v>1116</v>
      </c>
      <c r="C772" s="1" t="s">
        <v>1117</v>
      </c>
      <c r="D772" s="1" t="s">
        <v>1100</v>
      </c>
      <c r="E772" s="76" t="s">
        <v>56</v>
      </c>
      <c r="R772" s="66" t="s">
        <v>45</v>
      </c>
      <c r="S772" s="67" t="str">
        <f>HYPERLINK(CONCATENATE(TabelleURL!$B$1,"341_RC_Interface/3414704.pdf"), "B-3414704")</f>
        <v>B-3414704</v>
      </c>
      <c r="T772" s="63"/>
      <c r="U772" s="5"/>
      <c r="W772" s="5" t="s">
        <v>46</v>
      </c>
      <c r="X772" s="17"/>
      <c r="Y772" s="8"/>
      <c r="AC772" s="18"/>
    </row>
    <row r="773" spans="1:46">
      <c r="A773" s="1" t="s">
        <v>1093</v>
      </c>
      <c r="B773" s="1" t="s">
        <v>1118</v>
      </c>
      <c r="C773" s="1" t="s">
        <v>1119</v>
      </c>
      <c r="D773" s="1" t="s">
        <v>21</v>
      </c>
      <c r="G773" s="2" t="str">
        <f>HYPERLINK(CONCATENATE(TabelleURL!$B$1,"342_ADIF/342VW01.pdf"), "342VW01/0/KA")</f>
        <v>342VW01/0/KA</v>
      </c>
      <c r="H773" s="2" t="s">
        <v>923</v>
      </c>
      <c r="I773" s="2" t="str">
        <f>HYPERLINK(CONCATENATE(TabelleURL!$B$1,"342_ADIF/342VW01ZI.pdf"), " 342VW01/ZI")</f>
        <v xml:space="preserve"> 342VW01/ZI</v>
      </c>
      <c r="M773" s="5" t="str">
        <f>HYPERLINK(CONCATENATE(TabelleURL!$B$1,"345_Signalbox/3450258.pdf"), "3450258")</f>
        <v>3450258</v>
      </c>
      <c r="N773" s="5" t="str">
        <f>HYPERLINK(CONCATENATE(TabelleURL!$B$1,"345_Signalbox/3450258-H.pdf"), "3450258-H")</f>
        <v>3450258-H</v>
      </c>
      <c r="P773" s="5" t="str">
        <f>HYPERLINK(CONCATENATE(TabelleURL!$B$1,"345_Signalbox/3450258-W.pdf"), "3450258-W")</f>
        <v>3450258-W</v>
      </c>
      <c r="R773" s="66" t="s">
        <v>11</v>
      </c>
      <c r="S773" s="67" t="str">
        <f>HYPERLINK(CONCATENATE(TabelleURL!$B$1,"344_URI2/3444755.pdf"), "B-3444755")</f>
        <v>B-3444755</v>
      </c>
      <c r="T773" s="63">
        <v>3470005</v>
      </c>
      <c r="U773" s="5" t="s">
        <v>51</v>
      </c>
      <c r="V773" s="4" t="str">
        <f>HYPERLINK(CONCATENATE(TabelleURL!$B$1,"344_URI2/3444755.pdf"), "B-3444755")</f>
        <v>B-3444755</v>
      </c>
      <c r="W773" s="5"/>
      <c r="X773" s="17"/>
      <c r="Y773" s="8"/>
      <c r="AC773" s="18"/>
      <c r="AF773" s="8" t="str">
        <f>HYPERLINK(CONCATENATE(TabelleURL!$B$1,"340_Helfer/3404700.pdf"), "B-3404700")</f>
        <v>B-3404700</v>
      </c>
      <c r="AG773" s="2" t="str">
        <f>HYPERLINK(CONCATENATE(TabelleURL!$B$1,"340_Helfer/3404701.pdf"), "3404701")</f>
        <v>3404701</v>
      </c>
      <c r="AH773" s="4" t="str">
        <f>HYPERLINK(CONCATENATE(TabelleURL!$B$1,"347_CAN2COM/3475857.pdf"), "3475857")</f>
        <v>3475857</v>
      </c>
      <c r="AI773" s="5" t="str">
        <f>HYPERLINK(CONCATENATE(TabelleURL!$B$1,"3499_Taxi/34990050.pdf"), "34990050")</f>
        <v>34990050</v>
      </c>
      <c r="AJ773" s="5" t="str">
        <f>HYPERLINK(CONCATENATE(TabelleURL!$B$1,"3499_Taxi/34990050-1.pdf"), "34990050-1")</f>
        <v>34990050-1</v>
      </c>
      <c r="AL773" s="3" t="s">
        <v>7</v>
      </c>
      <c r="AP773" s="2" t="str">
        <f>HYPERLINK(CONCATENATE(TabelleURL!$B$1,"367/3674700.pdf"), "3674700")</f>
        <v>3674700</v>
      </c>
      <c r="AT773" s="2"/>
    </row>
    <row r="774" spans="1:46">
      <c r="A774" s="1" t="s">
        <v>1093</v>
      </c>
      <c r="B774" s="1" t="s">
        <v>1120</v>
      </c>
      <c r="D774" s="1" t="s">
        <v>27</v>
      </c>
      <c r="G774" s="2" t="str">
        <f>HYPERLINK(CONCATENATE(TabelleURL!$B$1,"342_ADIF/342VW01.pdf"), "342VW01/0/KA")</f>
        <v>342VW01/0/KA</v>
      </c>
      <c r="H774" s="2" t="s">
        <v>923</v>
      </c>
      <c r="I774" s="2" t="str">
        <f>HYPERLINK(CONCATENATE(TabelleURL!$B$1,"342_ADIF/342VW01ZI.pdf"), " 342VW01/ZI")</f>
        <v xml:space="preserve"> 342VW01/ZI</v>
      </c>
      <c r="M774" s="5" t="str">
        <f>HYPERLINK(CONCATENATE(TabelleURL!$B$1,"345_Signalbox/3450258.pdf"), "3450258")</f>
        <v>3450258</v>
      </c>
      <c r="N774" s="5" t="str">
        <f>HYPERLINK(CONCATENATE(TabelleURL!$B$1,"345_Signalbox/3450258-H.pdf"), "3450258-H")</f>
        <v>3450258-H</v>
      </c>
      <c r="P774" s="5" t="str">
        <f>HYPERLINK(CONCATENATE(TabelleURL!$B$1,"345_Signalbox/3450258-W.pdf"), "3450258-W")</f>
        <v>3450258-W</v>
      </c>
      <c r="R774" s="66" t="s">
        <v>221</v>
      </c>
      <c r="S774" s="67" t="str">
        <f>HYPERLINK(CONCATENATE(TabelleURL!$B$1,"344_URI2/3444756.pdf"), "B-3444756")</f>
        <v>B-3444756</v>
      </c>
      <c r="T774" s="63"/>
      <c r="U774" s="5"/>
      <c r="V774" s="4" t="str">
        <f>HYPERLINK(CONCATENATE(TabelleURL!$B$1,"344_URI2/3444756.pdf"), "B-3444756")</f>
        <v>B-3444756</v>
      </c>
      <c r="W774" s="5"/>
      <c r="X774" s="17"/>
      <c r="Y774" s="8"/>
      <c r="AA774" s="4">
        <v>3670403</v>
      </c>
      <c r="AB774" s="2" t="s">
        <v>55</v>
      </c>
      <c r="AC774" s="18"/>
      <c r="AE774" s="2" t="str">
        <f>HYPERLINK(CONCATENATE(TabelleURL!$B$1,"367/3674755-RVC.pdf"), "3674755-RVC")</f>
        <v>3674755-RVC</v>
      </c>
      <c r="AF774" s="8" t="str">
        <f>HYPERLINK(CONCATENATE(TabelleURL!$B$1,"340_Helfer/3404700.pdf"), "B-3404700")</f>
        <v>B-3404700</v>
      </c>
      <c r="AG774" s="2" t="str">
        <f>HYPERLINK(CONCATENATE(TabelleURL!$B$1,"340_Helfer/3404701.pdf"), "3404701")</f>
        <v>3404701</v>
      </c>
      <c r="AH774" s="4" t="str">
        <f>HYPERLINK(CONCATENATE(TabelleURL!$B$1,"347_CAN2COM/3475857.pdf"), "3475857")</f>
        <v>3475857</v>
      </c>
      <c r="AP774" s="2" t="str">
        <f>HYPERLINK(CONCATENATE(TabelleURL!$B$1,"367/3674700.pdf"), "3674700")</f>
        <v>3674700</v>
      </c>
      <c r="AT774" s="2"/>
    </row>
    <row r="775" spans="1:46">
      <c r="A775" s="1" t="s">
        <v>1093</v>
      </c>
      <c r="B775" s="1" t="s">
        <v>1121</v>
      </c>
      <c r="C775" s="1" t="s">
        <v>1122</v>
      </c>
      <c r="D775" s="1" t="s">
        <v>1123</v>
      </c>
      <c r="G775" s="2" t="str">
        <f>HYPERLINK(CONCATENATE(TabelleURL!$B$1,"342_ADIF/342VW01.pdf"), "342VW01/0/KA")</f>
        <v>342VW01/0/KA</v>
      </c>
      <c r="H775" s="2" t="s">
        <v>923</v>
      </c>
      <c r="I775" s="2" t="str">
        <f>HYPERLINK(CONCATENATE(TabelleURL!$B$1,"342_ADIF/342VW01ZI.pdf"), " 342VW01/ZI")</f>
        <v xml:space="preserve"> 342VW01/ZI</v>
      </c>
      <c r="T775" s="63"/>
      <c r="U775" s="5"/>
      <c r="W775" s="5"/>
      <c r="X775" s="17"/>
      <c r="Y775" s="8"/>
      <c r="AC775" s="18"/>
    </row>
    <row r="776" spans="1:46">
      <c r="A776" s="1" t="s">
        <v>1093</v>
      </c>
      <c r="B776" s="1" t="s">
        <v>1121</v>
      </c>
      <c r="C776" s="1" t="s">
        <v>225</v>
      </c>
      <c r="D776" s="1" t="s">
        <v>86</v>
      </c>
      <c r="G776" s="2" t="str">
        <f>HYPERLINK(CONCATENATE(TabelleURL!$B$1,"342_ADIF/342VW01.pdf"), "342VW01/0/KA")</f>
        <v>342VW01/0/KA</v>
      </c>
      <c r="H776" s="2" t="s">
        <v>923</v>
      </c>
      <c r="I776" s="2" t="str">
        <f>HYPERLINK(CONCATENATE(TabelleURL!$B$1,"342_ADIF/342VW01ZI.pdf"), " 342VW01/ZI")</f>
        <v xml:space="preserve"> 342VW01/ZI</v>
      </c>
      <c r="R776" s="66" t="s">
        <v>221</v>
      </c>
      <c r="S776" s="67" t="str">
        <f>HYPERLINK(CONCATENATE(TabelleURL!$B$1,"344_URI2/3444756.pdf"), "B-3444756")</f>
        <v>B-3444756</v>
      </c>
      <c r="T776" s="63"/>
      <c r="U776" s="5"/>
      <c r="V776" s="4" t="str">
        <f>HYPERLINK(CONCATENATE(TabelleURL!$B$1,"344_URI2/3444756.pdf"), "B-3444756")</f>
        <v>B-3444756</v>
      </c>
      <c r="W776" s="5"/>
      <c r="X776" s="17"/>
      <c r="Y776" s="8"/>
      <c r="AC776" s="18"/>
      <c r="AE776" s="2" t="str">
        <f>HYPERLINK(CONCATENATE(TabelleURL!$B$1,"367/3674755-RVC.pdf"), "3674755-RVC")</f>
        <v>3674755-RVC</v>
      </c>
      <c r="AH776" s="4" t="str">
        <f>HYPERLINK(CONCATENATE(TabelleURL!$B$1,"347_CAN2COM/3475857.pdf"), "3475857")</f>
        <v>3475857</v>
      </c>
      <c r="AI776" s="5" t="str">
        <f>HYPERLINK(CONCATENATE(TabelleURL!$B$1,"3499_Taxi/34990050.pdf"), "34990050")</f>
        <v>34990050</v>
      </c>
      <c r="AP776" s="2" t="str">
        <f>HYPERLINK(CONCATENATE(TabelleURL!$B$1,"367/3674700.pdf"), "3674700")</f>
        <v>3674700</v>
      </c>
      <c r="AT776" s="2"/>
    </row>
    <row r="777" spans="1:46" ht="22.5">
      <c r="A777" s="1" t="s">
        <v>1093</v>
      </c>
      <c r="B777" s="1" t="s">
        <v>1124</v>
      </c>
      <c r="C777" s="1" t="s">
        <v>1125</v>
      </c>
      <c r="D777" s="1" t="s">
        <v>919</v>
      </c>
      <c r="E777" s="76" t="s">
        <v>56</v>
      </c>
      <c r="F777" s="73" t="s">
        <v>1126</v>
      </c>
      <c r="G777" s="2" t="str">
        <f>HYPERLINK(CONCATENATE(TabelleURL!$B$1,"342_ADIF/342VW01.pdf"), "342VW01/0/KA")</f>
        <v>342VW01/0/KA</v>
      </c>
      <c r="H777" s="2" t="s">
        <v>923</v>
      </c>
      <c r="I777" s="2" t="str">
        <f>HYPERLINK(CONCATENATE(TabelleURL!$B$1,"342_ADIF/342VW01ZI.pdf"), " 342VW01/ZI")</f>
        <v xml:space="preserve"> 342VW01/ZI</v>
      </c>
      <c r="R777" s="66" t="s">
        <v>45</v>
      </c>
      <c r="S777" s="67" t="str">
        <f>HYPERLINK(CONCATENATE(TabelleURL!$B$1,"341_RC_Interface/3414704.pdf"), "B-3414704")</f>
        <v>B-3414704</v>
      </c>
      <c r="T777" s="63"/>
      <c r="U777" s="5"/>
      <c r="V777" s="4" t="str">
        <f>HYPERLINK(CONCATENATE(TabelleURL!$B$1,"344_URI2/3444755.pdf"), "3444755")</f>
        <v>3444755</v>
      </c>
      <c r="W777" s="5" t="s">
        <v>46</v>
      </c>
      <c r="X777" s="17"/>
      <c r="Y777" s="8"/>
      <c r="AC777" s="18"/>
    </row>
    <row r="778" spans="1:46">
      <c r="A778" s="1" t="s">
        <v>1093</v>
      </c>
      <c r="B778" s="1" t="s">
        <v>1124</v>
      </c>
      <c r="C778" s="1" t="s">
        <v>1127</v>
      </c>
      <c r="D778" s="1" t="s">
        <v>21</v>
      </c>
      <c r="E778" s="76" t="s">
        <v>157</v>
      </c>
      <c r="G778" s="2" t="str">
        <f>HYPERLINK(CONCATENATE(TabelleURL!$B$1,"342_ADIF/342VW01.pdf"), "342VW01/0/KA")</f>
        <v>342VW01/0/KA</v>
      </c>
      <c r="H778" s="2" t="s">
        <v>923</v>
      </c>
      <c r="I778" s="2" t="str">
        <f>HYPERLINK(CONCATENATE(TabelleURL!$B$1,"342_ADIF/342VW01ZI.pdf"), " 342VW01/ZI")</f>
        <v xml:space="preserve"> 342VW01/ZI</v>
      </c>
      <c r="M778" s="5" t="str">
        <f>HYPERLINK(CONCATENATE(TabelleURL!$B$1,"345_Signalbox/3450258.pdf"), "3450258")</f>
        <v>3450258</v>
      </c>
      <c r="N778" s="5" t="str">
        <f>HYPERLINK(CONCATENATE(TabelleURL!$B$1,"345_Signalbox/3450258-H.pdf"), "3450258-H")</f>
        <v>3450258-H</v>
      </c>
      <c r="P778" s="5" t="str">
        <f>HYPERLINK(CONCATENATE(TabelleURL!$B$1,"345_Signalbox/3450258-W.pdf"), "3450258-W")</f>
        <v>3450258-W</v>
      </c>
      <c r="R778" s="66" t="s">
        <v>11</v>
      </c>
      <c r="S778" s="67" t="str">
        <f>HYPERLINK(CONCATENATE(TabelleURL!$B$1,"344_URI2/3444755.pdf"), "B-3444755")</f>
        <v>B-3444755</v>
      </c>
      <c r="T778" s="63">
        <v>3470005</v>
      </c>
      <c r="U778" s="5" t="s">
        <v>51</v>
      </c>
      <c r="V778" s="4" t="str">
        <f>HYPERLINK(CONCATENATE(TabelleURL!$B$1,"344_URI2/3444755.pdf"), "B-3444755")</f>
        <v>B-3444755</v>
      </c>
      <c r="W778" s="5"/>
      <c r="X778" s="17"/>
      <c r="Y778" s="8"/>
      <c r="AA778" s="4">
        <v>3670403</v>
      </c>
      <c r="AB778" s="2" t="s">
        <v>55</v>
      </c>
      <c r="AC778" s="18"/>
      <c r="AF778" s="8" t="str">
        <f>HYPERLINK(CONCATENATE(TabelleURL!$B$1,"340_Helfer/3404700.pdf"), "B-3404700")</f>
        <v>B-3404700</v>
      </c>
      <c r="AG778" s="2" t="str">
        <f>HYPERLINK(CONCATENATE(TabelleURL!$B$1,"340_Helfer/3404701.pdf"), "3404701")</f>
        <v>3404701</v>
      </c>
      <c r="AH778" s="4" t="str">
        <f>HYPERLINK(CONCATENATE(TabelleURL!$B$1,"347_CAN2COM/3475857.pdf"), "3475857")</f>
        <v>3475857</v>
      </c>
      <c r="AI778" s="5" t="str">
        <f>HYPERLINK(CONCATENATE(TabelleURL!$B$1,"3499_Taxi/34990050.pdf"), "34990050")</f>
        <v>34990050</v>
      </c>
      <c r="AJ778" s="5" t="str">
        <f>HYPERLINK(CONCATENATE(TabelleURL!$B$1,"3499_Taxi/34990050-1.pdf"), "34990050-1")</f>
        <v>34990050-1</v>
      </c>
      <c r="AL778" s="3" t="s">
        <v>7</v>
      </c>
      <c r="AP778" s="2" t="str">
        <f>HYPERLINK(CONCATENATE(TabelleURL!$B$1,"367/3674700.pdf"), "3674700")</f>
        <v>3674700</v>
      </c>
      <c r="AR778" s="3" t="s">
        <v>1113</v>
      </c>
      <c r="AT778" s="85"/>
    </row>
    <row r="779" spans="1:46">
      <c r="A779" s="1" t="s">
        <v>1093</v>
      </c>
      <c r="B779" s="1" t="s">
        <v>1124</v>
      </c>
      <c r="C779" s="1" t="s">
        <v>1128</v>
      </c>
      <c r="D779" s="1" t="s">
        <v>263</v>
      </c>
      <c r="G779" s="2" t="str">
        <f>HYPERLINK(CONCATENATE(TabelleURL!$B$1,"342_ADIF/342VW01.pdf"), "342VW01/0/KA")</f>
        <v>342VW01/0/KA</v>
      </c>
      <c r="H779" s="2" t="s">
        <v>923</v>
      </c>
      <c r="I779" s="2" t="str">
        <f>HYPERLINK(CONCATENATE(TabelleURL!$B$1,"342_ADIF/342VW01ZI.pdf"), " 342VW01/ZI")</f>
        <v xml:space="preserve"> 342VW01/ZI</v>
      </c>
      <c r="M779" s="5" t="str">
        <f>HYPERLINK(CONCATENATE(TabelleURL!$B$1,"345_Signalbox/3450258.pdf"), "3450258")</f>
        <v>3450258</v>
      </c>
      <c r="N779" s="5" t="str">
        <f>HYPERLINK(CONCATENATE(TabelleURL!$B$1,"345_Signalbox/3450258-H.pdf"), "3450258-H")</f>
        <v>3450258-H</v>
      </c>
      <c r="P779" s="5" t="str">
        <f>HYPERLINK(CONCATENATE(TabelleURL!$B$1,"345_Signalbox/3450258-W.pdf"), "3450258-W")</f>
        <v>3450258-W</v>
      </c>
      <c r="R779" s="66" t="s">
        <v>221</v>
      </c>
      <c r="S779" s="67" t="str">
        <f>HYPERLINK(CONCATENATE(TabelleURL!$B$1,"344_URI2/3444756.pdf"), "B-3444756")</f>
        <v>B-3444756</v>
      </c>
      <c r="T779" s="63"/>
      <c r="U779" s="5"/>
      <c r="V779" s="4" t="str">
        <f>HYPERLINK(CONCATENATE(TabelleURL!$B$1,"344_URI2/3444756.pdf"), "B-3444756")</f>
        <v>B-3444756</v>
      </c>
      <c r="W779" s="5"/>
      <c r="X779" s="17"/>
      <c r="Y779" s="8"/>
      <c r="AA779" s="4">
        <v>3670403</v>
      </c>
      <c r="AB779" s="2" t="s">
        <v>55</v>
      </c>
      <c r="AC779" s="18"/>
      <c r="AF779" s="8" t="str">
        <f>HYPERLINK(CONCATENATE(TabelleURL!$B$1,"340_Helfer/3404700.pdf"), "B-3404700")</f>
        <v>B-3404700</v>
      </c>
      <c r="AG779" s="2" t="str">
        <f>HYPERLINK(CONCATENATE(TabelleURL!$B$1,"340_Helfer/3404701.pdf"), "3404701")</f>
        <v>3404701</v>
      </c>
      <c r="AH779" s="4" t="str">
        <f>HYPERLINK(CONCATENATE(TabelleURL!$B$1,"347_CAN2COM/3475857.pdf"), "3475857")</f>
        <v>3475857</v>
      </c>
      <c r="AI779" s="5" t="str">
        <f>HYPERLINK(CONCATENATE(TabelleURL!$B$1,"3499_Taxi/34990050.pdf"), "34990050")</f>
        <v>34990050</v>
      </c>
      <c r="AJ779" s="5" t="str">
        <f>HYPERLINK(CONCATENATE(TabelleURL!$B$1,"3499_Taxi/34990050-1.pdf"), "34990050-1")</f>
        <v>34990050-1</v>
      </c>
      <c r="AP779" s="2" t="str">
        <f>HYPERLINK(CONCATENATE(TabelleURL!$B$1,"367/3674700.pdf"), "3674700")</f>
        <v>3674700</v>
      </c>
      <c r="AR779" s="3" t="s">
        <v>1113</v>
      </c>
      <c r="AS779" s="83" t="str">
        <f>HYPERLINK(CONCATENATE(TabelleURL!$B$1,"339_MWS/B-339VW01.pdf"), "B-339VW01")</f>
        <v>B-339VW01</v>
      </c>
      <c r="AT779" s="2"/>
    </row>
    <row r="780" spans="1:46">
      <c r="A780" s="1" t="s">
        <v>1093</v>
      </c>
      <c r="B780" s="1" t="s">
        <v>1124</v>
      </c>
      <c r="C780" s="1" t="s">
        <v>1128</v>
      </c>
      <c r="D780" s="1" t="s">
        <v>263</v>
      </c>
      <c r="E780" s="76" t="s">
        <v>924</v>
      </c>
      <c r="G780" s="2" t="str">
        <f>HYPERLINK(CONCATENATE(TabelleURL!$B$1,"342_ADIF/342VW01.pdf"), "342VW01/0/KA")</f>
        <v>342VW01/0/KA</v>
      </c>
      <c r="H780" s="2" t="s">
        <v>923</v>
      </c>
      <c r="I780" s="2" t="str">
        <f>HYPERLINK(CONCATENATE(TabelleURL!$B$1,"342_ADIF/342VW01ZI.pdf"), " 342VW01/ZI")</f>
        <v xml:space="preserve"> 342VW01/ZI</v>
      </c>
      <c r="M780" s="5" t="str">
        <f>HYPERLINK(CONCATENATE(TabelleURL!$B$1,"345_Signalbox/3450258.pdf"), "3450258")</f>
        <v>3450258</v>
      </c>
      <c r="N780" s="5" t="str">
        <f>HYPERLINK(CONCATENATE(TabelleURL!$B$1,"345_Signalbox/3450258-H.pdf"), "3450258-H")</f>
        <v>3450258-H</v>
      </c>
      <c r="P780" s="5" t="str">
        <f>HYPERLINK(CONCATENATE(TabelleURL!$B$1,"345_Signalbox/3450258-W.pdf"), "3450258-W")</f>
        <v>3450258-W</v>
      </c>
      <c r="R780" s="66" t="s">
        <v>221</v>
      </c>
      <c r="S780" s="67" t="str">
        <f>HYPERLINK(CONCATENATE(TabelleURL!$B$1,"344_URI2/3444756.pdf"), "B-3444756")</f>
        <v>B-3444756</v>
      </c>
      <c r="T780" s="63">
        <v>3474756</v>
      </c>
      <c r="U780" s="5" t="s">
        <v>51</v>
      </c>
      <c r="V780" s="4" t="str">
        <f>HYPERLINK(CONCATENATE(TabelleURL!$B$1,"344_URI2/3444756.pdf"), "B-3444756")</f>
        <v>B-3444756</v>
      </c>
      <c r="W780" s="5"/>
      <c r="X780" s="17"/>
      <c r="Y780" s="8"/>
      <c r="AB780" s="2" t="s">
        <v>55</v>
      </c>
      <c r="AC780" s="18"/>
      <c r="AE780" s="2" t="str">
        <f>HYPERLINK(CONCATENATE(TabelleURL!$B$1,"367/3674755-RVC.pdf"), "3674755-RVC")</f>
        <v>3674755-RVC</v>
      </c>
      <c r="AF780" s="8" t="str">
        <f>HYPERLINK(CONCATENATE(TabelleURL!$B$1,"340_Helfer/3404700.pdf"), "B-3404700")</f>
        <v>B-3404700</v>
      </c>
      <c r="AG780" s="2" t="str">
        <f>HYPERLINK(CONCATENATE(TabelleURL!$B$1,"340_Helfer/3404701.pdf"), "3404701")</f>
        <v>3404701</v>
      </c>
      <c r="AH780" s="4" t="str">
        <f>HYPERLINK(CONCATENATE(TabelleURL!$B$1,"347_CAN2COM/3475857.pdf"), "3475857")</f>
        <v>3475857</v>
      </c>
      <c r="AI780" s="5" t="str">
        <f>HYPERLINK(CONCATENATE(TabelleURL!$B$1,"3499_Taxi/34990050.pdf"), "34990050")</f>
        <v>34990050</v>
      </c>
      <c r="AJ780" s="5" t="str">
        <f>HYPERLINK(CONCATENATE(TabelleURL!$B$1,"3499_Taxi/34990050-1.pdf"), "34990050-1")</f>
        <v>34990050-1</v>
      </c>
      <c r="AP780" s="2" t="str">
        <f>HYPERLINK(CONCATENATE(TabelleURL!$B$1,"367/3674700.pdf"), "3674700")</f>
        <v>3674700</v>
      </c>
      <c r="AR780" s="3" t="s">
        <v>1113</v>
      </c>
      <c r="AS780" s="83" t="str">
        <f>HYPERLINK(CONCATENATE(TabelleURL!$B$1,"339_MWS/B-339VW01.pdf"), "B-339VW01")</f>
        <v>B-339VW01</v>
      </c>
      <c r="AT780" s="2"/>
    </row>
    <row r="781" spans="1:46" ht="25.5">
      <c r="A781" s="1" t="s">
        <v>1093</v>
      </c>
      <c r="B781" s="1" t="s">
        <v>1124</v>
      </c>
      <c r="C781" s="1" t="s">
        <v>1129</v>
      </c>
      <c r="D781" s="1" t="s">
        <v>73</v>
      </c>
      <c r="G781" s="2" t="str">
        <f>HYPERLINK(CONCATENATE(TabelleURL!$B$1,"342_ADIF/342VW05.pdf"), "342VW05/0/KA")</f>
        <v>342VW05/0/KA</v>
      </c>
      <c r="H781" s="2" t="s">
        <v>1130</v>
      </c>
      <c r="I781" s="2" t="str">
        <f>HYPERLINK(CONCATENATE(TabelleURL!$B$1,"342_ADIF/342VW05ZI.pdf"), "342VW05/0/ZI")</f>
        <v>342VW05/0/ZI</v>
      </c>
      <c r="M781" s="5" t="str">
        <f>HYPERLINK(CONCATENATE(TabelleURL!$B$1,"345_Signalbox/3450276.pdf"), "3450276")</f>
        <v>3450276</v>
      </c>
      <c r="P781" s="5" t="str">
        <f>HYPERLINK(CONCATENATE(TabelleURL!$B$1,"345_Signalbox/3450276-W.pdf"), "3450276-W")</f>
        <v>3450276-W</v>
      </c>
      <c r="T781" s="63"/>
      <c r="U781" s="5"/>
      <c r="W781" s="5"/>
      <c r="X781" s="17"/>
      <c r="Y781" s="8"/>
      <c r="AC781" s="18"/>
      <c r="AF781" s="8" t="str">
        <f>HYPERLINK(CONCATENATE(TabelleURL!$B$1,"340_Helfer/3404700.pdf"), "B-3404700")</f>
        <v>B-3404700</v>
      </c>
      <c r="AG781" s="2" t="str">
        <f>HYPERLINK(CONCATENATE(TabelleURL!$B$1,"340_Helfer/3404701.pdf"), "3404701")</f>
        <v>3404701</v>
      </c>
      <c r="AH781" s="4" t="str">
        <f>HYPERLINK(CONCATENATE(TabelleURL!$B$1,"347_CAN2COM/3475857.pdf"), "3475857")</f>
        <v>3475857</v>
      </c>
      <c r="AI781" s="5" t="str">
        <f>HYPERLINK(CONCATENATE(TabelleURL!$B$1,"3499_Taxi/34990083.pdf"), "34990083")</f>
        <v>34990083</v>
      </c>
      <c r="AP781" s="2" t="str">
        <f>HYPERLINK(CONCATENATE(TabelleURL!$B$1,"367/3674700.pdf"), "3674700")</f>
        <v>3674700</v>
      </c>
      <c r="AS781" s="83" t="str">
        <f>HYPERLINK(CONCATENATE(TabelleURL!$B$1,"339_MWS/B-339VW02.pdf"), "B-339VW02")</f>
        <v>B-339VW02</v>
      </c>
      <c r="AT781" s="2" t="str">
        <f>HYPERLINK(CONCATENATE(TabelleURL!$B$1,"340_Helfer/3406857.pdf"), "B-3406857")</f>
        <v>B-3406857</v>
      </c>
    </row>
    <row r="782" spans="1:46">
      <c r="A782" s="1" t="s">
        <v>1093</v>
      </c>
      <c r="B782" s="1" t="s">
        <v>1131</v>
      </c>
      <c r="C782" s="1" t="s">
        <v>1132</v>
      </c>
      <c r="D782" s="1" t="s">
        <v>29</v>
      </c>
      <c r="G782" s="2" t="str">
        <f>HYPERLINK(CONCATENATE(TabelleURL!$B$1,"342_ADIF/342VW01.pdf"), "342VW01/0/KA")</f>
        <v>342VW01/0/KA</v>
      </c>
      <c r="H782" s="2" t="s">
        <v>923</v>
      </c>
      <c r="I782" s="2" t="str">
        <f>HYPERLINK(CONCATENATE(TabelleURL!$B$1,"342_ADIF/342VW01ZI.pdf"), " 342VW01/ZI")</f>
        <v xml:space="preserve"> 342VW01/ZI</v>
      </c>
      <c r="M782" s="5" t="str">
        <f>HYPERLINK(CONCATENATE(TabelleURL!$B$1,"345_Signalbox/3450258.pdf"), "3450258")</f>
        <v>3450258</v>
      </c>
      <c r="N782" s="5" t="str">
        <f>HYPERLINK(CONCATENATE(TabelleURL!$B$1,"345_Signalbox/3450258-H.pdf"), "3450258-H")</f>
        <v>3450258-H</v>
      </c>
      <c r="P782" s="5" t="str">
        <f>HYPERLINK(CONCATENATE(TabelleURL!$B$1,"345_Signalbox/3450258-W.pdf"), "3450258-W")</f>
        <v>3450258-W</v>
      </c>
      <c r="R782" s="66" t="s">
        <v>221</v>
      </c>
      <c r="S782" s="67" t="str">
        <f>HYPERLINK(CONCATENATE(TabelleURL!$B$1,"344_URI2/3444756.pdf"), "B-3444756")</f>
        <v>B-3444756</v>
      </c>
      <c r="T782" s="63">
        <v>3470005</v>
      </c>
      <c r="U782" s="5" t="s">
        <v>51</v>
      </c>
      <c r="V782" s="4" t="str">
        <f>HYPERLINK(CONCATENATE(TabelleURL!$B$1,"344_URI2/3444756.pdf"), "B-3444756")</f>
        <v>B-3444756</v>
      </c>
      <c r="W782" s="5"/>
      <c r="X782" s="17"/>
      <c r="Y782" s="8"/>
      <c r="AB782" s="2" t="s">
        <v>55</v>
      </c>
      <c r="AC782" s="18"/>
      <c r="AF782" s="8" t="str">
        <f>HYPERLINK(CONCATENATE(TabelleURL!$B$1,"340_Helfer/3404700.pdf"), "B-3404700")</f>
        <v>B-3404700</v>
      </c>
      <c r="AG782" s="2" t="str">
        <f>HYPERLINK(CONCATENATE(TabelleURL!$B$1,"340_Helfer/3404701.pdf"), "3404701")</f>
        <v>3404701</v>
      </c>
      <c r="AH782" s="4" t="str">
        <f>HYPERLINK(CONCATENATE(TabelleURL!$B$1,"347_CAN2COM/3475857.pdf"), "3475857")</f>
        <v>3475857</v>
      </c>
      <c r="AI782" s="5" t="str">
        <f>HYPERLINK(CONCATENATE(TabelleURL!$B$1,"3499_Taxi/34990050.pdf"), "34990050")</f>
        <v>34990050</v>
      </c>
      <c r="AJ782" s="5" t="str">
        <f>HYPERLINK(CONCATENATE(TabelleURL!$B$1,"3499_Taxi/34990050-1.pdf"), "34990050-1")</f>
        <v>34990050-1</v>
      </c>
      <c r="AL782" s="3" t="s">
        <v>7</v>
      </c>
      <c r="AP782" s="2" t="str">
        <f>HYPERLINK(CONCATENATE(TabelleURL!$B$1,"367/3674700.pdf"), "3674700")</f>
        <v>3674700</v>
      </c>
      <c r="AQ782" s="7" t="s">
        <v>940</v>
      </c>
      <c r="AT782" s="85"/>
    </row>
    <row r="783" spans="1:46">
      <c r="A783" s="1" t="s">
        <v>1093</v>
      </c>
      <c r="B783" s="1" t="s">
        <v>1131</v>
      </c>
      <c r="C783" s="1" t="s">
        <v>1132</v>
      </c>
      <c r="D783" s="1" t="s">
        <v>29</v>
      </c>
      <c r="E783" s="76" t="s">
        <v>924</v>
      </c>
      <c r="G783" s="2" t="str">
        <f>HYPERLINK(CONCATENATE(TabelleURL!$B$1,"342_ADIF/342VW01.pdf"), "342VW01/0/KA")</f>
        <v>342VW01/0/KA</v>
      </c>
      <c r="H783" s="2" t="s">
        <v>923</v>
      </c>
      <c r="I783" s="2" t="str">
        <f>HYPERLINK(CONCATENATE(TabelleURL!$B$1,"342_ADIF/342VW01ZI.pdf"), " 342VW01/ZI")</f>
        <v xml:space="preserve"> 342VW01/ZI</v>
      </c>
      <c r="M783" s="5" t="str">
        <f>HYPERLINK(CONCATENATE(TabelleURL!$B$1,"345_Signalbox/3450258.pdf"), "3450258")</f>
        <v>3450258</v>
      </c>
      <c r="N783" s="5" t="str">
        <f>HYPERLINK(CONCATENATE(TabelleURL!$B$1,"345_Signalbox/3450258-H.pdf"), "3450258-H")</f>
        <v>3450258-H</v>
      </c>
      <c r="P783" s="5" t="str">
        <f>HYPERLINK(CONCATENATE(TabelleURL!$B$1,"345_Signalbox/3450258-W.pdf"), "3450258-W")</f>
        <v>3450258-W</v>
      </c>
      <c r="R783" s="66" t="s">
        <v>221</v>
      </c>
      <c r="S783" s="67" t="str">
        <f>HYPERLINK(CONCATENATE(TabelleURL!$B$1,"344_URI2/3444756.pdf"), "B-3444756")</f>
        <v>B-3444756</v>
      </c>
      <c r="T783" s="63">
        <v>3474756</v>
      </c>
      <c r="U783" s="5" t="s">
        <v>51</v>
      </c>
      <c r="V783" s="4" t="str">
        <f>HYPERLINK(CONCATENATE(TabelleURL!$B$1,"344_URI2/3444756.pdf"), "B-3444756")</f>
        <v>B-3444756</v>
      </c>
      <c r="W783" s="5"/>
      <c r="X783" s="17"/>
      <c r="Y783" s="8"/>
      <c r="AB783" s="2" t="s">
        <v>55</v>
      </c>
      <c r="AC783" s="18"/>
      <c r="AF783" s="8" t="str">
        <f>HYPERLINK(CONCATENATE(TabelleURL!$B$1,"340_Helfer/3404700.pdf"), "B-3404700")</f>
        <v>B-3404700</v>
      </c>
      <c r="AG783" s="2" t="str">
        <f>HYPERLINK(CONCATENATE(TabelleURL!$B$1,"340_Helfer/3404701.pdf"), "3404701")</f>
        <v>3404701</v>
      </c>
      <c r="AH783" s="4" t="str">
        <f>HYPERLINK(CONCATENATE(TabelleURL!$B$1,"347_CAN2COM/3475857.pdf"), "3475857")</f>
        <v>3475857</v>
      </c>
      <c r="AI783" s="5" t="str">
        <f>HYPERLINK(CONCATENATE(TabelleURL!$B$1,"3499_Taxi/34990050.pdf"), "34990050")</f>
        <v>34990050</v>
      </c>
      <c r="AJ783" s="5" t="str">
        <f>HYPERLINK(CONCATENATE(TabelleURL!$B$1,"3499_Taxi/34990050-1.pdf"), "34990050-1")</f>
        <v>34990050-1</v>
      </c>
      <c r="AL783" s="3" t="s">
        <v>7</v>
      </c>
      <c r="AP783" s="2" t="str">
        <f>HYPERLINK(CONCATENATE(TabelleURL!$B$1,"367/3674700.pdf"), "3674700")</f>
        <v>3674700</v>
      </c>
      <c r="AT783" s="85"/>
    </row>
    <row r="784" spans="1:46">
      <c r="A784" s="1" t="s">
        <v>1093</v>
      </c>
      <c r="B784" s="1" t="s">
        <v>1133</v>
      </c>
      <c r="C784" s="1" t="s">
        <v>1134</v>
      </c>
      <c r="D784" s="1" t="s">
        <v>821</v>
      </c>
      <c r="G784" s="2" t="str">
        <f>HYPERLINK(CONCATENATE(TabelleURL!$B$1,"342_ADIF/342VW04.pdf"), "342VW04/0")</f>
        <v>342VW04/0</v>
      </c>
      <c r="R784" s="66" t="s">
        <v>221</v>
      </c>
      <c r="S784" s="67" t="str">
        <f>HYPERLINK(CONCATENATE(TabelleURL!$B$1,"347_URI/3474754.pdf"), "B-3474754")</f>
        <v>B-3474754</v>
      </c>
      <c r="T784" s="63">
        <v>3474754</v>
      </c>
      <c r="U784" s="5" t="s">
        <v>51</v>
      </c>
      <c r="W784" s="5"/>
      <c r="X784" s="17"/>
      <c r="Y784" s="8"/>
      <c r="AC784" s="18"/>
      <c r="AF784" s="8" t="str">
        <f>HYPERLINK(CONCATENATE(TabelleURL!$B$1,"340_Helfer/3404700.pdf"), "B-3404700")</f>
        <v>B-3404700</v>
      </c>
      <c r="AG784" s="2" t="str">
        <f>HYPERLINK(CONCATENATE(TabelleURL!$B$1,"340_Helfer/3404701.pdf"), "3404701")</f>
        <v>3404701</v>
      </c>
      <c r="AL784" s="3" t="s">
        <v>7</v>
      </c>
      <c r="AP784" s="2" t="str">
        <f>HYPERLINK(CONCATENATE(TabelleURL!$B$1,"367/3674700.pdf"), "3674700")</f>
        <v>3674700</v>
      </c>
    </row>
    <row r="785" spans="1:46">
      <c r="A785" s="1" t="s">
        <v>1093</v>
      </c>
      <c r="B785" s="1" t="s">
        <v>1133</v>
      </c>
      <c r="C785" s="1" t="s">
        <v>1134</v>
      </c>
      <c r="D785" s="1" t="s">
        <v>231</v>
      </c>
      <c r="F785" s="70" t="s">
        <v>1135</v>
      </c>
      <c r="G785" s="2" t="str">
        <f>HYPERLINK(CONCATENATE(TabelleURL!$B$1,"342_ADIF/342VW01.pdf"), "342VW01/0/KA")</f>
        <v>342VW01/0/KA</v>
      </c>
      <c r="H785" s="2" t="s">
        <v>923</v>
      </c>
      <c r="I785" s="2" t="str">
        <f>HYPERLINK(CONCATENATE(TabelleURL!$B$1,"342_ADIF/342VW01ZI.pdf"), " 342VW01/ZI")</f>
        <v xml:space="preserve"> 342VW01/ZI</v>
      </c>
      <c r="M785" s="5" t="str">
        <f>HYPERLINK(CONCATENATE(TabelleURL!$B$1,"345_Signalbox/3450258.pdf"), "3450258")</f>
        <v>3450258</v>
      </c>
      <c r="N785" s="5" t="str">
        <f>HYPERLINK(CONCATENATE(TabelleURL!$B$1,"345_Signalbox/3450255-H.pdf"), "3450255-H")</f>
        <v>3450255-H</v>
      </c>
      <c r="P785" s="5" t="str">
        <f>HYPERLINK(CONCATENATE(TabelleURL!$B$1,"345_Signalbox/3450258-W.pdf"), "3450258-W")</f>
        <v>3450258-W</v>
      </c>
      <c r="R785" s="66" t="s">
        <v>221</v>
      </c>
      <c r="S785" s="67" t="str">
        <f>HYPERLINK(CONCATENATE(TabelleURL!$B$1,"347_URI/3474754.pdf"), "B-3474754")</f>
        <v>B-3474754</v>
      </c>
      <c r="T785" s="63">
        <v>3474754</v>
      </c>
      <c r="U785" s="5" t="s">
        <v>51</v>
      </c>
      <c r="W785" s="5"/>
      <c r="X785" s="17"/>
      <c r="Y785" s="8"/>
      <c r="AC785" s="18"/>
      <c r="AF785" s="8" t="str">
        <f>HYPERLINK(CONCATENATE(TabelleURL!$B$1,"340_Helfer/3404700.pdf"), "B-3404700")</f>
        <v>B-3404700</v>
      </c>
      <c r="AG785" s="2" t="str">
        <f>HYPERLINK(CONCATENATE(TabelleURL!$B$1,"340_Helfer/3404701.pdf"), "3404701")</f>
        <v>3404701</v>
      </c>
      <c r="AH785" s="4" t="str">
        <f>HYPERLINK(CONCATENATE(TabelleURL!$B$1,"347_CAN2COM/3475857.pdf"), "3475857")</f>
        <v>3475857</v>
      </c>
      <c r="AI785" s="5" t="str">
        <f>HYPERLINK(CONCATENATE(TabelleURL!$B$1,"3499_Taxi/34990053.pdf"), "34990053")</f>
        <v>34990053</v>
      </c>
      <c r="AK785" s="5" t="str">
        <f>HYPERLINK(CONCATENATE(TabelleURL!$B$1,"3499_Taxi/34990080.pdf"), "34990080")</f>
        <v>34990080</v>
      </c>
      <c r="AL785" s="3" t="s">
        <v>7</v>
      </c>
      <c r="AP785" s="2" t="str">
        <f>HYPERLINK(CONCATENATE(TabelleURL!$B$1,"367/3674700.pdf"), "3674700")</f>
        <v>3674700</v>
      </c>
    </row>
    <row r="786" spans="1:46">
      <c r="A786" s="1" t="s">
        <v>1093</v>
      </c>
      <c r="B786" s="1" t="s">
        <v>1133</v>
      </c>
      <c r="D786" s="1" t="s">
        <v>27</v>
      </c>
      <c r="G786" s="2" t="str">
        <f>HYPERLINK(CONCATENATE(TabelleURL!$B$1,"342_ADIF/342VW01.pdf"), "342VW01/0/KA")</f>
        <v>342VW01/0/KA</v>
      </c>
      <c r="H786" s="2" t="s">
        <v>923</v>
      </c>
      <c r="I786" s="2" t="str">
        <f>HYPERLINK(CONCATENATE(TabelleURL!$B$1,"342_ADIF/342VW01ZI.pdf"), " 342VW01/ZI")</f>
        <v xml:space="preserve"> 342VW01/ZI</v>
      </c>
      <c r="T786" s="63"/>
      <c r="U786" s="5"/>
      <c r="W786" s="5"/>
      <c r="X786" s="17"/>
      <c r="Y786" s="8"/>
      <c r="AC786" s="18"/>
      <c r="AE786" s="2" t="str">
        <f>HYPERLINK(CONCATENATE(TabelleURL!$B$1,"367/3674755-RVC.pdf"), "3674755-RVC")</f>
        <v>3674755-RVC</v>
      </c>
      <c r="AF786" s="8" t="str">
        <f>HYPERLINK(CONCATENATE(TabelleURL!$B$1,"340_Helfer/3404700.pdf"), "B-3404700")</f>
        <v>B-3404700</v>
      </c>
      <c r="AG786" s="2" t="str">
        <f>HYPERLINK(CONCATENATE(TabelleURL!$B$1,"340_Helfer/3404701.pdf"), "3404701")</f>
        <v>3404701</v>
      </c>
      <c r="AH786" s="4" t="str">
        <f>HYPERLINK(CONCATENATE(TabelleURL!$B$1,"347_CAN2COM/3475857.pdf"), "3475857")</f>
        <v>3475857</v>
      </c>
      <c r="AI786" s="5" t="str">
        <f>HYPERLINK(CONCATENATE(TabelleURL!$B$1,"3499_Taxi/34990053.pdf"), "34990053")</f>
        <v>34990053</v>
      </c>
      <c r="AK786" s="5" t="str">
        <f>HYPERLINK(CONCATENATE(TabelleURL!$B$1,"3499_Taxi/34990080.pdf"), "34990080")</f>
        <v>34990080</v>
      </c>
      <c r="AL786" s="3" t="s">
        <v>7</v>
      </c>
      <c r="AP786" s="2" t="str">
        <f>HYPERLINK(CONCATENATE(TabelleURL!$B$1,"367/3674700.pdf"), "3674700")</f>
        <v>3674700</v>
      </c>
    </row>
    <row r="787" spans="1:46">
      <c r="A787" s="1" t="s">
        <v>1093</v>
      </c>
      <c r="B787" s="1" t="s">
        <v>1136</v>
      </c>
      <c r="C787" s="1" t="s">
        <v>1137</v>
      </c>
      <c r="D787" s="1" t="s">
        <v>268</v>
      </c>
      <c r="G787" s="2" t="str">
        <f>HYPERLINK(CONCATENATE(TabelleURL!$B$1,"342_ADIF/342VW01.pdf"), "342VW01/0/KA")</f>
        <v>342VW01/0/KA</v>
      </c>
      <c r="H787" s="2" t="s">
        <v>923</v>
      </c>
      <c r="I787" s="2" t="str">
        <f>HYPERLINK(CONCATENATE(TabelleURL!$B$1,"342_ADIF/342VW01ZI.pdf"), " 342VW01/ZI")</f>
        <v xml:space="preserve"> 342VW01/ZI</v>
      </c>
      <c r="T787" s="63"/>
      <c r="U787" s="5"/>
      <c r="W787" s="5"/>
      <c r="X787" s="17"/>
      <c r="Y787" s="8"/>
      <c r="AC787" s="18"/>
      <c r="AF787" s="8" t="str">
        <f>HYPERLINK(CONCATENATE(TabelleURL!$B$1,"340_Helfer/3404700.pdf"), "B-3404700")</f>
        <v>B-3404700</v>
      </c>
      <c r="AL787" s="3" t="s">
        <v>7</v>
      </c>
      <c r="AP787" s="2" t="str">
        <f>HYPERLINK(CONCATENATE(TabelleURL!$B$1,"367/3674700.pdf"), "3674700")</f>
        <v>3674700</v>
      </c>
    </row>
    <row r="788" spans="1:46">
      <c r="A788" s="1" t="s">
        <v>1093</v>
      </c>
      <c r="B788" s="1" t="s">
        <v>1136</v>
      </c>
      <c r="C788" s="1" t="s">
        <v>1138</v>
      </c>
      <c r="D788" s="1" t="s">
        <v>442</v>
      </c>
      <c r="G788" s="2" t="str">
        <f>HYPERLINK(CONCATENATE(TabelleURL!$B$1,"342_ADIF/342VW01.pdf"), "342VW01/0/KA")</f>
        <v>342VW01/0/KA</v>
      </c>
      <c r="H788" s="2" t="s">
        <v>923</v>
      </c>
      <c r="I788" s="2" t="str">
        <f>HYPERLINK(CONCATENATE(TabelleURL!$B$1,"342_ADIF/342VW01ZI.pdf"), " 342VW01/ZI")</f>
        <v xml:space="preserve"> 342VW01/ZI</v>
      </c>
      <c r="R788" s="66" t="s">
        <v>45</v>
      </c>
      <c r="S788" s="67" t="str">
        <f>HYPERLINK(CONCATENATE(TabelleURL!$B$1,"341_RC_Interface/3414704.pdf"), "B-3414704")</f>
        <v>B-3414704</v>
      </c>
      <c r="T788" s="63"/>
      <c r="U788" s="5"/>
      <c r="W788" s="5"/>
      <c r="X788" s="17"/>
      <c r="Y788" s="8"/>
      <c r="AA788" s="4">
        <v>3670403</v>
      </c>
      <c r="AB788" s="2" t="s">
        <v>55</v>
      </c>
      <c r="AC788" s="18"/>
      <c r="AF788" s="8" t="str">
        <f>HYPERLINK(CONCATENATE(TabelleURL!$B$1,"340_Helfer/3404700.pdf"), "B-3404700")</f>
        <v>B-3404700</v>
      </c>
      <c r="AL788" s="3" t="s">
        <v>7</v>
      </c>
      <c r="AP788" s="2" t="str">
        <f>HYPERLINK(CONCATENATE(TabelleURL!$B$1,"367/3674700.pdf"), "3674700")</f>
        <v>3674700</v>
      </c>
    </row>
    <row r="789" spans="1:46">
      <c r="A789" s="1" t="s">
        <v>1093</v>
      </c>
      <c r="B789" s="1" t="s">
        <v>1136</v>
      </c>
      <c r="C789" s="1" t="s">
        <v>1139</v>
      </c>
      <c r="D789" s="1" t="s">
        <v>1140</v>
      </c>
      <c r="G789" s="2" t="str">
        <f>HYPERLINK(CONCATENATE(TabelleURL!$B$1,"342_ADIF/342VW01.pdf"), "342VW01/0/KA")</f>
        <v>342VW01/0/KA</v>
      </c>
      <c r="H789" s="2" t="s">
        <v>923</v>
      </c>
      <c r="I789" s="2" t="str">
        <f>HYPERLINK(CONCATENATE(TabelleURL!$B$1,"342_ADIF/342VW01ZI.pdf"), " 342VW01/ZI")</f>
        <v xml:space="preserve"> 342VW01/ZI</v>
      </c>
      <c r="M789" s="5" t="str">
        <f>HYPERLINK(CONCATENATE(TabelleURL!$B$1,"345_Signalbox/3450258.pdf"), "3450258")</f>
        <v>3450258</v>
      </c>
      <c r="N789" s="5" t="str">
        <f>HYPERLINK(CONCATENATE(TabelleURL!$B$1,"345_Signalbox/3450255-H.pdf"), "3450255-H")</f>
        <v>3450255-H</v>
      </c>
      <c r="P789" s="5" t="str">
        <f>HYPERLINK(CONCATENATE(TabelleURL!$B$1,"345_Signalbox/3450258-W.pdf"), "3450258-W")</f>
        <v>3450258-W</v>
      </c>
      <c r="R789" s="66" t="s">
        <v>221</v>
      </c>
      <c r="S789" s="67" t="str">
        <f>HYPERLINK(CONCATENATE(TabelleURL!$B$1,"344_URI2/3444756.pdf"), "B-3444756")</f>
        <v>B-3444756</v>
      </c>
      <c r="T789" s="63">
        <v>3474756</v>
      </c>
      <c r="U789" s="5" t="s">
        <v>51</v>
      </c>
      <c r="V789" s="4" t="str">
        <f>HYPERLINK(CONCATENATE(TabelleURL!$B$1,"344_URI2/3444756.pdf"), "B-3444756")</f>
        <v>B-3444756</v>
      </c>
      <c r="W789" s="5"/>
      <c r="X789" s="17"/>
      <c r="Y789" s="8"/>
      <c r="AA789" s="4">
        <v>3670403</v>
      </c>
      <c r="AB789" s="2" t="s">
        <v>55</v>
      </c>
      <c r="AC789" s="18"/>
      <c r="AF789" s="8" t="str">
        <f>HYPERLINK(CONCATENATE(TabelleURL!$B$1,"340_Helfer/3404700.pdf"), "B-3404700")</f>
        <v>B-3404700</v>
      </c>
      <c r="AG789" s="2" t="str">
        <f>HYPERLINK(CONCATENATE(TabelleURL!$B$1,"340_Helfer/3404701.pdf"), "3404701")</f>
        <v>3404701</v>
      </c>
      <c r="AH789" s="4" t="str">
        <f>HYPERLINK(CONCATENATE(TabelleURL!$B$1,"347_CAN2COM/3475857.pdf"), "3475857")</f>
        <v>3475857</v>
      </c>
      <c r="AI789" s="5" t="str">
        <f>HYPERLINK(CONCATENATE(TabelleURL!$B$1,"3499_Taxi/34990050.pdf"), "34990050")</f>
        <v>34990050</v>
      </c>
      <c r="AL789" s="3" t="s">
        <v>7</v>
      </c>
      <c r="AP789" s="2" t="str">
        <f>HYPERLINK(CONCATENATE(TabelleURL!$B$1,"367/3674700.pdf"), "3674700")</f>
        <v>3674700</v>
      </c>
    </row>
    <row r="790" spans="1:46">
      <c r="A790" s="1" t="s">
        <v>1093</v>
      </c>
      <c r="B790" s="1" t="s">
        <v>1136</v>
      </c>
      <c r="C790" s="1" t="s">
        <v>1139</v>
      </c>
      <c r="D790" s="1" t="s">
        <v>1140</v>
      </c>
      <c r="E790" s="76" t="s">
        <v>924</v>
      </c>
      <c r="G790" s="2" t="str">
        <f>HYPERLINK(CONCATENATE(TabelleURL!$B$1,"342_ADIF/342VW01.pdf"), "342VW01/0/KA")</f>
        <v>342VW01/0/KA</v>
      </c>
      <c r="H790" s="2" t="s">
        <v>923</v>
      </c>
      <c r="I790" s="2" t="str">
        <f>HYPERLINK(CONCATENATE(TabelleURL!$B$1,"342_ADIF/342VW01ZI.pdf"), " 342VW01/ZI")</f>
        <v xml:space="preserve"> 342VW01/ZI</v>
      </c>
      <c r="M790" s="5" t="str">
        <f>HYPERLINK(CONCATENATE(TabelleURL!$B$1,"345_Signalbox/3450258.pdf"), "3450258")</f>
        <v>3450258</v>
      </c>
      <c r="N790" s="5" t="str">
        <f>HYPERLINK(CONCATENATE(TabelleURL!$B$1,"345_Signalbox/3450255-H.pdf"), "3450255-H")</f>
        <v>3450255-H</v>
      </c>
      <c r="P790" s="5" t="str">
        <f>HYPERLINK(CONCATENATE(TabelleURL!$B$1,"345_Signalbox/3450258-W.pdf"), "3450258-W")</f>
        <v>3450258-W</v>
      </c>
      <c r="R790" s="66" t="s">
        <v>221</v>
      </c>
      <c r="S790" s="67" t="str">
        <f>HYPERLINK(CONCATENATE(TabelleURL!$B$1,"344_URI2/3444756.pdf"), "B-3444756")</f>
        <v>B-3444756</v>
      </c>
      <c r="T790" s="63">
        <v>3474756</v>
      </c>
      <c r="U790" s="5" t="s">
        <v>51</v>
      </c>
      <c r="V790" s="4" t="str">
        <f>HYPERLINK(CONCATENATE(TabelleURL!$B$1,"344_URI2/3444756.pdf"), "B-3444756")</f>
        <v>B-3444756</v>
      </c>
      <c r="W790" s="5"/>
      <c r="X790" s="17"/>
      <c r="Y790" s="8"/>
      <c r="AC790" s="18"/>
      <c r="AF790" s="8" t="str">
        <f>HYPERLINK(CONCATENATE(TabelleURL!$B$1,"340_Helfer/3404700.pdf"), "B-3404700")</f>
        <v>B-3404700</v>
      </c>
      <c r="AG790" s="2" t="str">
        <f>HYPERLINK(CONCATENATE(TabelleURL!$B$1,"340_Helfer/3404701.pdf"), "3404701")</f>
        <v>3404701</v>
      </c>
      <c r="AH790" s="4" t="str">
        <f>HYPERLINK(CONCATENATE(TabelleURL!$B$1,"347_CAN2COM/3475857.pdf"), "3475857")</f>
        <v>3475857</v>
      </c>
      <c r="AI790" s="5" t="str">
        <f>HYPERLINK(CONCATENATE(TabelleURL!$B$1,"3499_Taxi/34990050.pdf"), "34990050")</f>
        <v>34990050</v>
      </c>
      <c r="AL790" s="3" t="s">
        <v>7</v>
      </c>
      <c r="AP790" s="2" t="str">
        <f>HYPERLINK(CONCATENATE(TabelleURL!$B$1,"367/3674700.pdf"), "3674700")</f>
        <v>3674700</v>
      </c>
    </row>
    <row r="791" spans="1:46">
      <c r="A791" s="1" t="s">
        <v>1093</v>
      </c>
      <c r="B791" s="1" t="s">
        <v>1136</v>
      </c>
      <c r="C791" s="1" t="s">
        <v>1139</v>
      </c>
      <c r="D791" s="1" t="s">
        <v>1413</v>
      </c>
      <c r="E791" s="11"/>
      <c r="G791" s="2" t="str">
        <f>HYPERLINK(CONCATENATE(TabelleURL!$B$1,"332_ADIF/332VW05.pdf"), "332VW05KA")</f>
        <v>332VW05KA</v>
      </c>
      <c r="H791" s="2" t="s">
        <v>50</v>
      </c>
      <c r="I791" s="2" t="str">
        <f>HYPERLINK(CONCATENATE(TabelleURL!$B$1,"342_ADIF/342VW05ZI.pdf"), "342VW05/0/ZI")</f>
        <v>342VW05/0/ZI</v>
      </c>
      <c r="M791" s="5" t="str">
        <f>HYPERLINK(CONCATENATE(TabelleURL!$B$1,"345_Signalbox/3450276.pdf"), "3450276")</f>
        <v>3450276</v>
      </c>
      <c r="P791" s="5" t="str">
        <f>HYPERLINK(CONCATENATE(TabelleURL!$B$1,"345_Signalbox/3450276-W.pdf"), "3450276-W")</f>
        <v>3450276-W</v>
      </c>
      <c r="T791" s="63"/>
      <c r="U791" s="5"/>
      <c r="W791" s="5"/>
      <c r="X791" s="17"/>
      <c r="Y791" s="8"/>
      <c r="AC791" s="18"/>
      <c r="AF791" s="8" t="str">
        <f>HYPERLINK(CONCATENATE(TabelleURL!$B$1,"340_Helfer/3404700.pdf"), "B-3404700")</f>
        <v>B-3404700</v>
      </c>
      <c r="AG791" s="2" t="str">
        <f>HYPERLINK(CONCATENATE(TabelleURL!$B$1,"340_Helfer/3404701.pdf"), "3404701")</f>
        <v>3404701</v>
      </c>
      <c r="AH791" s="4" t="str">
        <f>HYPERLINK(CONCATENATE(TabelleURL!$B$1,"347_CAN2COM/3475857.pdf"), "3475857")</f>
        <v>3475857</v>
      </c>
    </row>
    <row r="792" spans="1:46">
      <c r="A792" s="1" t="s">
        <v>1093</v>
      </c>
      <c r="B792" s="1" t="s">
        <v>1136</v>
      </c>
      <c r="C792" s="1" t="s">
        <v>1414</v>
      </c>
      <c r="D792" s="1" t="s">
        <v>104</v>
      </c>
      <c r="E792" s="76" t="s">
        <v>1415</v>
      </c>
      <c r="T792" s="63"/>
      <c r="U792" s="5"/>
      <c r="W792" s="5"/>
      <c r="X792" s="17"/>
      <c r="Y792" s="8"/>
      <c r="AC792" s="18"/>
      <c r="AG792" s="2"/>
    </row>
    <row r="793" spans="1:46">
      <c r="A793" s="1" t="s">
        <v>1093</v>
      </c>
      <c r="B793" s="1" t="s">
        <v>1141</v>
      </c>
      <c r="C793" s="1" t="s">
        <v>1142</v>
      </c>
      <c r="D793" s="1" t="s">
        <v>255</v>
      </c>
      <c r="G793" s="2" t="str">
        <f>HYPERLINK(CONCATENATE(TabelleURL!$B$1,"342_ADIF/342VW01.pdf"), "342VW01/0/KA")</f>
        <v>342VW01/0/KA</v>
      </c>
      <c r="H793" s="2" t="s">
        <v>923</v>
      </c>
      <c r="I793" s="2" t="str">
        <f>HYPERLINK(CONCATENATE(TabelleURL!$B$1,"342_ADIF/342VW01ZI.pdf"), " 342VW01/ZI")</f>
        <v xml:space="preserve"> 342VW01/ZI</v>
      </c>
      <c r="M793" s="5" t="str">
        <f>HYPERLINK(CONCATENATE(TabelleURL!$B$1,"345_Signalbox/3450258.pdf"), "3450258")</f>
        <v>3450258</v>
      </c>
      <c r="N793" s="5" t="str">
        <f>HYPERLINK(CONCATENATE(TabelleURL!$B$1,"345_Signalbox/3450258-H.pdf"), "3450258-H")</f>
        <v>3450258-H</v>
      </c>
      <c r="P793" s="5" t="str">
        <f>HYPERLINK(CONCATENATE(TabelleURL!$B$1,"345_Signalbox/3450258-W.pdf"), "3450258-W")</f>
        <v>3450258-W</v>
      </c>
      <c r="R793" s="66" t="s">
        <v>11</v>
      </c>
      <c r="S793" s="67" t="str">
        <f>HYPERLINK(CONCATENATE(TabelleURL!$B$1,"344_URI2/3444755.pdf"), "B-3444755")</f>
        <v>B-3444755</v>
      </c>
      <c r="T793" s="63">
        <v>3470005</v>
      </c>
      <c r="U793" s="5" t="s">
        <v>51</v>
      </c>
      <c r="V793" s="4" t="str">
        <f>HYPERLINK(CONCATENATE(TabelleURL!$B$1,"344_URI2/3444755.pdf"), "B-3444755")</f>
        <v>B-3444755</v>
      </c>
      <c r="W793" s="5"/>
      <c r="X793" s="17"/>
      <c r="Y793" s="8"/>
      <c r="AA793" s="4">
        <v>3670403</v>
      </c>
      <c r="AB793" s="2" t="s">
        <v>55</v>
      </c>
      <c r="AC793" s="18"/>
      <c r="AF793" s="8" t="str">
        <f>HYPERLINK(CONCATENATE(TabelleURL!$B$1,"340_Helfer/3404700.pdf"), "B-3404700")</f>
        <v>B-3404700</v>
      </c>
      <c r="AG793" s="2" t="str">
        <f>HYPERLINK(CONCATENATE(TabelleURL!$B$1,"340_Helfer/3404701.pdf"), "3404701")</f>
        <v>3404701</v>
      </c>
      <c r="AH793" s="4" t="str">
        <f>HYPERLINK(CONCATENATE(TabelleURL!$B$1,"347_CAN2COM/3475857.pdf"), "3475857")</f>
        <v>3475857</v>
      </c>
      <c r="AI793" s="5" t="str">
        <f>HYPERLINK(CONCATENATE(TabelleURL!$B$1,"3499_Taxi/34990050.pdf"), "34990050")</f>
        <v>34990050</v>
      </c>
      <c r="AJ793" s="5" t="str">
        <f>HYPERLINK(CONCATENATE(TabelleURL!$B$1,"3499_Taxi/34990050-1.pdf"), "34990050-1")</f>
        <v>34990050-1</v>
      </c>
      <c r="AL793" s="3" t="s">
        <v>7</v>
      </c>
      <c r="AP793" s="2" t="str">
        <f>HYPERLINK(CONCATENATE(TabelleURL!$B$1,"367/3674700.pdf"), "3674700")</f>
        <v>3674700</v>
      </c>
      <c r="AT793" s="85"/>
    </row>
    <row r="794" spans="1:46">
      <c r="A794" s="1" t="s">
        <v>1093</v>
      </c>
      <c r="B794" s="1" t="s">
        <v>1141</v>
      </c>
      <c r="C794" s="1" t="s">
        <v>1142</v>
      </c>
      <c r="D794" s="1" t="s">
        <v>27</v>
      </c>
      <c r="G794" s="2" t="str">
        <f>HYPERLINK(CONCATENATE(TabelleURL!$B$1,"342_ADIF/342VW01.pdf"), "342VW01/0/KA")</f>
        <v>342VW01/0/KA</v>
      </c>
      <c r="H794" s="2" t="s">
        <v>923</v>
      </c>
      <c r="I794" s="2" t="str">
        <f>HYPERLINK(CONCATENATE(TabelleURL!$B$1,"342_ADIF/342VW01ZI.pdf"), " 342VW01/ZI")</f>
        <v xml:space="preserve"> 342VW01/ZI</v>
      </c>
      <c r="M794" s="5" t="str">
        <f>HYPERLINK(CONCATENATE(TabelleURL!$B$1,"345_Signalbox/3450258.pdf"), "3450258")</f>
        <v>3450258</v>
      </c>
      <c r="N794" s="5" t="str">
        <f>HYPERLINK(CONCATENATE(TabelleURL!$B$1,"345_Signalbox/3450258-H.pdf"), "3450258-H")</f>
        <v>3450258-H</v>
      </c>
      <c r="P794" s="5" t="str">
        <f>HYPERLINK(CONCATENATE(TabelleURL!$B$1,"345_Signalbox/3450258-W.pdf"), "3450258-W")</f>
        <v>3450258-W</v>
      </c>
      <c r="R794" s="66" t="s">
        <v>221</v>
      </c>
      <c r="S794" s="67" t="str">
        <f>HYPERLINK(CONCATENATE(TabelleURL!$B$1,"344_URI2/3444756.pdf"), "B-3444756")</f>
        <v>B-3444756</v>
      </c>
      <c r="T794" s="63">
        <v>3474756</v>
      </c>
      <c r="U794" s="5" t="s">
        <v>51</v>
      </c>
      <c r="V794" s="4" t="str">
        <f>HYPERLINK(CONCATENATE(TabelleURL!$B$1,"344_URI2/3444756.pdf"), "B-3444756")</f>
        <v>B-3444756</v>
      </c>
      <c r="W794" s="5"/>
      <c r="X794" s="17"/>
      <c r="Y794" s="8"/>
      <c r="AA794" s="4">
        <v>3670403</v>
      </c>
      <c r="AB794" s="2" t="s">
        <v>55</v>
      </c>
      <c r="AC794" s="18"/>
      <c r="AF794" s="8" t="str">
        <f>HYPERLINK(CONCATENATE(TabelleURL!$B$1,"340_Helfer/3404700.pdf"), "B-3404700")</f>
        <v>B-3404700</v>
      </c>
      <c r="AG794" s="2" t="str">
        <f>HYPERLINK(CONCATENATE(TabelleURL!$B$1,"340_Helfer/3404701.pdf"), "3404701")</f>
        <v>3404701</v>
      </c>
      <c r="AH794" s="4" t="str">
        <f>HYPERLINK(CONCATENATE(TabelleURL!$B$1,"347_CAN2COM/3475857.pdf"), "3475857")</f>
        <v>3475857</v>
      </c>
      <c r="AI794" s="5" t="str">
        <f>HYPERLINK(CONCATENATE(TabelleURL!$B$1,"3499_Taxi/34990050.pdf"), "34990050")</f>
        <v>34990050</v>
      </c>
      <c r="AJ794" s="5" t="str">
        <f>HYPERLINK(CONCATENATE(TabelleURL!$B$1,"3499_Taxi/34990050-1.pdf"), "34990050-1")</f>
        <v>34990050-1</v>
      </c>
      <c r="AL794" s="3" t="s">
        <v>7</v>
      </c>
      <c r="AP794" s="2" t="str">
        <f>HYPERLINK(CONCATENATE(TabelleURL!$B$1,"367/3674700.pdf"), "3674700")</f>
        <v>3674700</v>
      </c>
      <c r="AQ794" s="7" t="s">
        <v>940</v>
      </c>
      <c r="AT794" s="85"/>
    </row>
    <row r="795" spans="1:46">
      <c r="A795" s="1" t="s">
        <v>1093</v>
      </c>
      <c r="B795" s="1" t="s">
        <v>1141</v>
      </c>
      <c r="C795" s="1" t="s">
        <v>1142</v>
      </c>
      <c r="D795" s="1" t="s">
        <v>27</v>
      </c>
      <c r="E795" s="76" t="s">
        <v>924</v>
      </c>
      <c r="G795" s="2" t="str">
        <f>HYPERLINK(CONCATENATE(TabelleURL!$B$1,"342_ADIF/342VW01.pdf"), "342VW01/0/KA")</f>
        <v>342VW01/0/KA</v>
      </c>
      <c r="H795" s="2" t="s">
        <v>923</v>
      </c>
      <c r="I795" s="2" t="str">
        <f>HYPERLINK(CONCATENATE(TabelleURL!$B$1,"342_ADIF/342VW01ZI.pdf"), " 342VW01/ZI")</f>
        <v xml:space="preserve"> 342VW01/ZI</v>
      </c>
      <c r="M795" s="5" t="str">
        <f>HYPERLINK(CONCATENATE(TabelleURL!$B$1,"345_Signalbox/3450258.pdf"), "3450258")</f>
        <v>3450258</v>
      </c>
      <c r="N795" s="5" t="str">
        <f>HYPERLINK(CONCATENATE(TabelleURL!$B$1,"345_Signalbox/3450258-H.pdf"), "3450258-H")</f>
        <v>3450258-H</v>
      </c>
      <c r="P795" s="5" t="str">
        <f>HYPERLINK(CONCATENATE(TabelleURL!$B$1,"345_Signalbox/3450258-W.pdf"), "3450258-W")</f>
        <v>3450258-W</v>
      </c>
      <c r="R795" s="66" t="s">
        <v>221</v>
      </c>
      <c r="S795" s="67" t="str">
        <f>HYPERLINK(CONCATENATE(TabelleURL!$B$1,"344_URI2/3444756.pdf"), "B-3444756")</f>
        <v>B-3444756</v>
      </c>
      <c r="T795" s="63">
        <v>3474756</v>
      </c>
      <c r="U795" s="5" t="s">
        <v>51</v>
      </c>
      <c r="V795" s="4" t="str">
        <f>HYPERLINK(CONCATENATE(TabelleURL!$B$1,"344_URI2/3444756.pdf"), "B-3444756")</f>
        <v>B-3444756</v>
      </c>
      <c r="W795" s="5"/>
      <c r="X795" s="17"/>
      <c r="Y795" s="8"/>
      <c r="AA795" s="4">
        <v>3670403</v>
      </c>
      <c r="AB795" s="2" t="s">
        <v>55</v>
      </c>
      <c r="AC795" s="18"/>
      <c r="AE795" s="2" t="str">
        <f>HYPERLINK(CONCATENATE(TabelleURL!$B$1,"367/3674755-RVC.pdf"), "3674755-RVC")</f>
        <v>3674755-RVC</v>
      </c>
      <c r="AF795" s="8" t="str">
        <f>HYPERLINK(CONCATENATE(TabelleURL!$B$1,"340_Helfer/3404700.pdf"), "B-3404700")</f>
        <v>B-3404700</v>
      </c>
      <c r="AG795" s="2" t="str">
        <f>HYPERLINK(CONCATENATE(TabelleURL!$B$1,"340_Helfer/3404701.pdf"), "3404701")</f>
        <v>3404701</v>
      </c>
      <c r="AH795" s="4" t="str">
        <f>HYPERLINK(CONCATENATE(TabelleURL!$B$1,"347_CAN2COM/3475857.pdf"), "3475857")</f>
        <v>3475857</v>
      </c>
      <c r="AI795" s="5" t="str">
        <f>HYPERLINK(CONCATENATE(TabelleURL!$B$1,"3499_Taxi/34990050.pdf"), "34990050")</f>
        <v>34990050</v>
      </c>
      <c r="AJ795" s="5" t="str">
        <f>HYPERLINK(CONCATENATE(TabelleURL!$B$1,"3499_Taxi/34990050-1.pdf"), "34990050-1")</f>
        <v>34990050-1</v>
      </c>
      <c r="AL795" s="3" t="s">
        <v>7</v>
      </c>
      <c r="AP795" s="2" t="str">
        <f>HYPERLINK(CONCATENATE(TabelleURL!$B$1,"367/3674700.pdf"), "3674700")</f>
        <v>3674700</v>
      </c>
      <c r="AQ795" s="7" t="s">
        <v>940</v>
      </c>
      <c r="AT795" s="85"/>
    </row>
    <row r="796" spans="1:46">
      <c r="A796" s="1" t="s">
        <v>1093</v>
      </c>
      <c r="B796" s="1" t="s">
        <v>1143</v>
      </c>
      <c r="C796" s="1" t="s">
        <v>920</v>
      </c>
      <c r="D796" s="1" t="s">
        <v>768</v>
      </c>
      <c r="E796" s="76" t="s">
        <v>56</v>
      </c>
      <c r="R796" s="66" t="s">
        <v>45</v>
      </c>
      <c r="S796" s="67" t="str">
        <f>HYPERLINK(CONCATENATE(TabelleURL!$B$1,"341_RC_Interface/3414704.pdf"), "B-3414704")</f>
        <v>B-3414704</v>
      </c>
      <c r="T796" s="63"/>
      <c r="U796" s="5"/>
      <c r="W796" s="5" t="s">
        <v>46</v>
      </c>
      <c r="X796" s="17"/>
      <c r="Y796" s="8"/>
      <c r="AC796" s="18"/>
      <c r="AT796" s="85"/>
    </row>
    <row r="797" spans="1:46">
      <c r="A797" s="1" t="s">
        <v>1093</v>
      </c>
      <c r="B797" s="1" t="s">
        <v>1143</v>
      </c>
      <c r="C797" s="1" t="s">
        <v>920</v>
      </c>
      <c r="D797" s="1" t="s">
        <v>231</v>
      </c>
      <c r="E797" s="76" t="s">
        <v>157</v>
      </c>
      <c r="G797" s="2" t="str">
        <f>HYPERLINK(CONCATENATE(TabelleURL!$B$1,"342_ADIF/342VW01.pdf"), "342VW01/0/KA")</f>
        <v>342VW01/0/KA</v>
      </c>
      <c r="H797" s="2" t="s">
        <v>923</v>
      </c>
      <c r="I797" s="2" t="str">
        <f>HYPERLINK(CONCATENATE(TabelleURL!$B$1,"342_ADIF/342VW01ZI.pdf"), " 342VW01/ZI")</f>
        <v xml:space="preserve"> 342VW01/ZI</v>
      </c>
      <c r="R797" s="66" t="s">
        <v>11</v>
      </c>
      <c r="S797" s="67" t="str">
        <f>HYPERLINK(CONCATENATE(TabelleURL!$B$1,"344_URI2/3444755.pdf"), "B-3444755")</f>
        <v>B-3444755</v>
      </c>
      <c r="T797" s="63"/>
      <c r="U797" s="5"/>
      <c r="W797" s="5"/>
      <c r="X797" s="17"/>
      <c r="Y797" s="8"/>
      <c r="AB797" s="2" t="s">
        <v>55</v>
      </c>
      <c r="AC797" s="18"/>
    </row>
    <row r="798" spans="1:46">
      <c r="A798" s="1" t="s">
        <v>1093</v>
      </c>
      <c r="B798" s="1" t="s">
        <v>1143</v>
      </c>
      <c r="C798" s="1" t="s">
        <v>1144</v>
      </c>
      <c r="D798" s="1" t="s">
        <v>27</v>
      </c>
      <c r="G798" s="2" t="str">
        <f>HYPERLINK(CONCATENATE(TabelleURL!$B$1,"342_ADIF/342VW01.pdf"), "342VW01/0/KA")</f>
        <v>342VW01/0/KA</v>
      </c>
      <c r="H798" s="2" t="s">
        <v>923</v>
      </c>
      <c r="I798" s="2" t="str">
        <f>HYPERLINK(CONCATENATE(TabelleURL!$B$1,"342_ADIF/342VW01ZI.pdf"), " 342VW01/ZI")</f>
        <v xml:space="preserve"> 342VW01/ZI</v>
      </c>
      <c r="M798" s="5" t="str">
        <f>HYPERLINK(CONCATENATE(TabelleURL!$B$1,"345_Signalbox/3450258.pdf"), "3450258")</f>
        <v>3450258</v>
      </c>
      <c r="N798" s="5" t="str">
        <f>HYPERLINK(CONCATENATE(TabelleURL!$B$1,"345_Signalbox/3450258-H.pdf"), "3450258-H")</f>
        <v>3450258-H</v>
      </c>
      <c r="P798" s="5" t="str">
        <f>HYPERLINK(CONCATENATE(TabelleURL!$B$1,"345_Signalbox/3450258-W.pdf"), "3450258-W")</f>
        <v>3450258-W</v>
      </c>
      <c r="R798" s="66" t="s">
        <v>221</v>
      </c>
      <c r="S798" s="67" t="str">
        <f>HYPERLINK(CONCATENATE(TabelleURL!$B$1,"344_URI2/3444756.pdf"), "B-3444756")</f>
        <v>B-3444756</v>
      </c>
      <c r="T798" s="63"/>
      <c r="U798" s="5"/>
      <c r="V798" s="4" t="str">
        <f>HYPERLINK(CONCATENATE(TabelleURL!$B$1,"344_URI2/3444756.pdf"), "B-3444756")</f>
        <v>B-3444756</v>
      </c>
      <c r="W798" s="5"/>
      <c r="X798" s="17"/>
      <c r="Y798" s="8"/>
      <c r="AA798" s="4">
        <v>3670403</v>
      </c>
      <c r="AB798" s="2" t="s">
        <v>55</v>
      </c>
      <c r="AC798" s="18"/>
      <c r="AF798" s="8" t="str">
        <f>HYPERLINK(CONCATENATE(TabelleURL!$B$1,"340_Helfer/3404700.pdf"), "B-3404700")</f>
        <v>B-3404700</v>
      </c>
      <c r="AG798" s="2" t="str">
        <f>HYPERLINK(CONCATENATE(TabelleURL!$B$1,"340_Helfer/3404701.pdf"), "3404701")</f>
        <v>3404701</v>
      </c>
      <c r="AH798" s="4" t="str">
        <f>HYPERLINK(CONCATENATE(TabelleURL!$B$1,"347_CAN2COM/3475857.pdf"), "3475857")</f>
        <v>3475857</v>
      </c>
      <c r="AI798" s="5" t="str">
        <f>HYPERLINK(CONCATENATE(TabelleURL!$B$1,"3499_Taxi/34990050.pdf"), "34990050")</f>
        <v>34990050</v>
      </c>
      <c r="AJ798" s="5" t="str">
        <f>HYPERLINK(CONCATENATE(TabelleURL!$B$1,"3499_Taxi/34990050-1.pdf"), "34990050-1")</f>
        <v>34990050-1</v>
      </c>
      <c r="AP798" s="2" t="str">
        <f>HYPERLINK(CONCATENATE(TabelleURL!$B$1,"367/3674700.pdf"), "3674700")</f>
        <v>3674700</v>
      </c>
      <c r="AQ798" s="7" t="s">
        <v>940</v>
      </c>
      <c r="AT798" s="85"/>
    </row>
    <row r="799" spans="1:46">
      <c r="A799" s="1" t="s">
        <v>1093</v>
      </c>
      <c r="B799" s="1" t="s">
        <v>1143</v>
      </c>
      <c r="C799" s="1" t="s">
        <v>1144</v>
      </c>
      <c r="D799" s="1" t="s">
        <v>27</v>
      </c>
      <c r="E799" s="76" t="s">
        <v>924</v>
      </c>
      <c r="G799" s="2" t="str">
        <f>HYPERLINK(CONCATENATE(TabelleURL!$B$1,"342_ADIF/342VW01.pdf"), "342VW01/0/KA")</f>
        <v>342VW01/0/KA</v>
      </c>
      <c r="H799" s="2" t="s">
        <v>923</v>
      </c>
      <c r="I799" s="2" t="str">
        <f>HYPERLINK(CONCATENATE(TabelleURL!$B$1,"342_ADIF/342VW01ZI.pdf"), " 342VW01/ZI")</f>
        <v xml:space="preserve"> 342VW01/ZI</v>
      </c>
      <c r="M799" s="5" t="str">
        <f>HYPERLINK(CONCATENATE(TabelleURL!$B$1,"345_Signalbox/3450258.pdf"), "3450258")</f>
        <v>3450258</v>
      </c>
      <c r="N799" s="5" t="str">
        <f>HYPERLINK(CONCATENATE(TabelleURL!$B$1,"345_Signalbox/3450258-H.pdf"), "3450258-H")</f>
        <v>3450258-H</v>
      </c>
      <c r="P799" s="5" t="str">
        <f>HYPERLINK(CONCATENATE(TabelleURL!$B$1,"345_Signalbox/3450258-W.pdf"), "3450258-W")</f>
        <v>3450258-W</v>
      </c>
      <c r="R799" s="66" t="s">
        <v>221</v>
      </c>
      <c r="S799" s="67" t="str">
        <f>HYPERLINK(CONCATENATE(TabelleURL!$B$1,"344_URI2/3444756.pdf"), "B-3444756")</f>
        <v>B-3444756</v>
      </c>
      <c r="T799" s="63">
        <v>3474756</v>
      </c>
      <c r="U799" s="5" t="s">
        <v>51</v>
      </c>
      <c r="V799" s="4" t="str">
        <f>HYPERLINK(CONCATENATE(TabelleURL!$B$1,"344_URI2/3444756.pdf"), "B-3444756")</f>
        <v>B-3444756</v>
      </c>
      <c r="W799" s="5"/>
      <c r="X799" s="17"/>
      <c r="Y799" s="8"/>
      <c r="AA799" s="4">
        <v>3670403</v>
      </c>
      <c r="AB799" s="2" t="s">
        <v>55</v>
      </c>
      <c r="AC799" s="18"/>
      <c r="AE799" s="2" t="str">
        <f>HYPERLINK(CONCATENATE(TabelleURL!$B$1,"367/3674755-RVC.pdf"), "3674755-RVC")</f>
        <v>3674755-RVC</v>
      </c>
      <c r="AF799" s="8" t="str">
        <f>HYPERLINK(CONCATENATE(TabelleURL!$B$1,"340_Helfer/3404700.pdf"), "B-3404700")</f>
        <v>B-3404700</v>
      </c>
      <c r="AG799" s="2" t="str">
        <f>HYPERLINK(CONCATENATE(TabelleURL!$B$1,"340_Helfer/3404701.pdf"), "3404701")</f>
        <v>3404701</v>
      </c>
      <c r="AH799" s="4" t="str">
        <f>HYPERLINK(CONCATENATE(TabelleURL!$B$1,"347_CAN2COM/3475857.pdf"), "3475857")</f>
        <v>3475857</v>
      </c>
      <c r="AI799" s="5" t="str">
        <f>HYPERLINK(CONCATENATE(TabelleURL!$B$1,"3499_Taxi/34990050.pdf"), "34990050")</f>
        <v>34990050</v>
      </c>
      <c r="AJ799" s="5" t="str">
        <f>HYPERLINK(CONCATENATE(TabelleURL!$B$1,"3499_Taxi/34990050-1.pdf"), "34990050-1")</f>
        <v>34990050-1</v>
      </c>
      <c r="AP799" s="2" t="str">
        <f>HYPERLINK(CONCATENATE(TabelleURL!$B$1,"367/3674700.pdf"), "3674700")</f>
        <v>3674700</v>
      </c>
      <c r="AT799" s="85"/>
    </row>
    <row r="800" spans="1:46">
      <c r="A800" s="1" t="s">
        <v>1093</v>
      </c>
      <c r="B800" s="1" t="s">
        <v>1145</v>
      </c>
      <c r="C800" s="1" t="s">
        <v>1146</v>
      </c>
      <c r="D800" s="1" t="s">
        <v>92</v>
      </c>
      <c r="G800" s="2" t="str">
        <f>HYPERLINK(CONCATENATE(TabelleURL!$B$1,"342_ADIF/342VW01.pdf"), "342VW01/0/KA")</f>
        <v>342VW01/0/KA</v>
      </c>
      <c r="H800" s="2" t="s">
        <v>923</v>
      </c>
      <c r="I800" s="2" t="str">
        <f>HYPERLINK(CONCATENATE(TabelleURL!$B$1,"342_ADIF/342VW01ZI.pdf"), " 342VW01/ZI")</f>
        <v xml:space="preserve"> 342VW01/ZI</v>
      </c>
      <c r="R800" s="66" t="s">
        <v>11</v>
      </c>
      <c r="S800" s="67" t="str">
        <f>HYPERLINK(CONCATENATE(TabelleURL!$B$1,"344_URI2/3444755.pdf"), "B-3444755")</f>
        <v>B-3444755</v>
      </c>
      <c r="T800" s="63">
        <v>3470005</v>
      </c>
      <c r="U800" s="5" t="s">
        <v>51</v>
      </c>
      <c r="V800" s="4" t="str">
        <f>HYPERLINK(CONCATENATE(TabelleURL!$B$1,"344_URI2/3444755.pdf"), "B-3444755")</f>
        <v>B-3444755</v>
      </c>
      <c r="W800" s="5"/>
      <c r="X800" s="17"/>
      <c r="Y800" s="8"/>
      <c r="AC800" s="18"/>
      <c r="AF800" s="8" t="str">
        <f>HYPERLINK(CONCATENATE(TabelleURL!$B$1,"340_Helfer/3404700.pdf"), "B-3404700")</f>
        <v>B-3404700</v>
      </c>
      <c r="AH800" s="4" t="str">
        <f>HYPERLINK(CONCATENATE(TabelleURL!$B$1,"347_CAN2COM/3475857.pdf"), "3475857")</f>
        <v>3475857</v>
      </c>
      <c r="AI800" s="5" t="str">
        <f>HYPERLINK(CONCATENATE(TabelleURL!$B$1,"3499_Taxi/34990052.pdf"), "34990052")</f>
        <v>34990052</v>
      </c>
      <c r="AL800" s="3" t="s">
        <v>7</v>
      </c>
      <c r="AM800" s="7" t="s">
        <v>1096</v>
      </c>
      <c r="AP800" s="2" t="str">
        <f>HYPERLINK(CONCATENATE(TabelleURL!$B$1,"367/3674700.pdf"), "3674700")</f>
        <v>3674700</v>
      </c>
      <c r="AQ800" s="7" t="s">
        <v>1147</v>
      </c>
      <c r="AR800" s="3" t="s">
        <v>1111</v>
      </c>
      <c r="AT800" s="85" t="str">
        <f>HYPERLINK(CONCATENATE(TabelleURL!$B$1,"340_Helfer/3406856.pdf"), "B-3406856")</f>
        <v>B-3406856</v>
      </c>
    </row>
    <row r="801" spans="1:46">
      <c r="A801" s="1" t="s">
        <v>1093</v>
      </c>
      <c r="B801" s="1" t="s">
        <v>1145</v>
      </c>
      <c r="C801" s="1" t="s">
        <v>1146</v>
      </c>
      <c r="D801" s="1" t="s">
        <v>263</v>
      </c>
      <c r="G801" s="2" t="str">
        <f>HYPERLINK(CONCATENATE(TabelleURL!$B$1,"342_ADIF/342VW01.pdf"), "342VW01/0/KA")</f>
        <v>342VW01/0/KA</v>
      </c>
      <c r="H801" s="2" t="s">
        <v>923</v>
      </c>
      <c r="I801" s="2" t="str">
        <f>HYPERLINK(CONCATENATE(TabelleURL!$B$1,"342_ADIF/342VW01ZI.pdf"), " 342VW01/ZI")</f>
        <v xml:space="preserve"> 342VW01/ZI</v>
      </c>
      <c r="M801" s="5" t="str">
        <f>HYPERLINK(CONCATENATE(TabelleURL!$B$1,"345_Signalbox/3450258.pdf"), "3450258")</f>
        <v>3450258</v>
      </c>
      <c r="N801" s="5" t="str">
        <f>HYPERLINK(CONCATENATE(TabelleURL!$B$1,"345_Signalbox/3450255-H.pdf"), "3450255-H")</f>
        <v>3450255-H</v>
      </c>
      <c r="P801" s="5" t="str">
        <f>HYPERLINK(CONCATENATE(TabelleURL!$B$1,"345_Signalbox/3450258-W.pdf"), "3450258-W")</f>
        <v>3450258-W</v>
      </c>
      <c r="Q801" s="61" t="str">
        <f>HYPERLINK(CONCATENATE(TabelleURL!$B$1,"345_Signalbox/3450301.pdf"), "3450301")</f>
        <v>3450301</v>
      </c>
      <c r="R801" s="66" t="s">
        <v>221</v>
      </c>
      <c r="S801" s="67" t="str">
        <f>HYPERLINK(CONCATENATE(TabelleURL!$B$1,"344_URI2/3444756.pdf"), "B-3444756")</f>
        <v>B-3444756</v>
      </c>
      <c r="T801" s="63">
        <v>3474756</v>
      </c>
      <c r="U801" s="5" t="s">
        <v>51</v>
      </c>
      <c r="V801" s="4" t="str">
        <f>HYPERLINK(CONCATENATE(TabelleURL!$B$1,"344_URI2/3444756.pdf"), "B-3444756")</f>
        <v>B-3444756</v>
      </c>
      <c r="W801" s="5"/>
      <c r="X801" s="17"/>
      <c r="Y801" s="8"/>
      <c r="AA801" s="4">
        <v>3670403</v>
      </c>
      <c r="AB801" s="2" t="s">
        <v>55</v>
      </c>
      <c r="AC801" s="18"/>
      <c r="AE801" s="2" t="str">
        <f>HYPERLINK(CONCATENATE(TabelleURL!$B$1,"367/3674755-RVC.pdf"), "3674755-RVC")</f>
        <v>3674755-RVC</v>
      </c>
      <c r="AF801" s="8" t="str">
        <f>HYPERLINK(CONCATENATE(TabelleURL!$B$1,"340_Helfer/3404700.pdf"), "B-3404700")</f>
        <v>B-3404700</v>
      </c>
      <c r="AH801" s="4" t="str">
        <f>HYPERLINK(CONCATENATE(TabelleURL!$B$1,"347_CAN2COM/3475857.pdf"), "3475857")</f>
        <v>3475857</v>
      </c>
      <c r="AI801" s="5" t="str">
        <f>HYPERLINK(CONCATENATE(TabelleURL!$B$1,"3499_Taxi/34990024.pdf"), "34990024")</f>
        <v>34990024</v>
      </c>
      <c r="AL801" s="3" t="s">
        <v>7</v>
      </c>
      <c r="AM801" s="7" t="s">
        <v>1096</v>
      </c>
      <c r="AP801" s="2" t="str">
        <f>HYPERLINK(CONCATENATE(TabelleURL!$B$1,"367/3674700.pdf"), "3674700")</f>
        <v>3674700</v>
      </c>
      <c r="AQ801" s="7" t="s">
        <v>940</v>
      </c>
      <c r="AS801" s="83" t="str">
        <f>HYPERLINK(CONCATENATE(TabelleURL!$B$1,"339_MWS/B-339VW03.pdf"), "B-339VW03")</f>
        <v>B-339VW03</v>
      </c>
      <c r="AT801" s="85" t="str">
        <f>HYPERLINK(CONCATENATE(TabelleURL!$B$1,"340_Helfer/3406856.pdf"), "B-3406856")</f>
        <v>B-3406856</v>
      </c>
    </row>
    <row r="802" spans="1:46">
      <c r="A802" s="1" t="s">
        <v>1093</v>
      </c>
      <c r="B802" s="1" t="s">
        <v>1145</v>
      </c>
      <c r="C802" s="1" t="s">
        <v>1146</v>
      </c>
      <c r="D802" s="1" t="s">
        <v>263</v>
      </c>
      <c r="E802" s="76" t="s">
        <v>924</v>
      </c>
      <c r="F802" s="70" t="s">
        <v>1148</v>
      </c>
      <c r="G802" s="2" t="str">
        <f>HYPERLINK(CONCATENATE(TabelleURL!$B$1,"342_ADIF/342VW01.pdf"), "342VW01/0/KA")</f>
        <v>342VW01/0/KA</v>
      </c>
      <c r="H802" s="2" t="s">
        <v>923</v>
      </c>
      <c r="I802" s="2" t="str">
        <f>HYPERLINK(CONCATENATE(TabelleURL!$B$1,"342_ADIF/342VW01ZI.pdf"), " 342VW01/ZI")</f>
        <v xml:space="preserve"> 342VW01/ZI</v>
      </c>
      <c r="M802" s="5" t="str">
        <f>HYPERLINK(CONCATENATE(TabelleURL!$B$1,"345_Signalbox/3450258.pdf"), "3450258")</f>
        <v>3450258</v>
      </c>
      <c r="N802" s="5" t="str">
        <f>HYPERLINK(CONCATENATE(TabelleURL!$B$1,"345_Signalbox/3450255-H.pdf"), "3450255-H")</f>
        <v>3450255-H</v>
      </c>
      <c r="P802" s="5" t="str">
        <f>HYPERLINK(CONCATENATE(TabelleURL!$B$1,"345_Signalbox/3450258-W.pdf"), "3450258-W")</f>
        <v>3450258-W</v>
      </c>
      <c r="Q802" s="61" t="str">
        <f>HYPERLINK(CONCATENATE(TabelleURL!$B$1,"345_Signalbox/3450301.pdf"), "3450301")</f>
        <v>3450301</v>
      </c>
      <c r="R802" s="66" t="s">
        <v>221</v>
      </c>
      <c r="S802" s="67" t="str">
        <f>HYPERLINK(CONCATENATE(TabelleURL!$B$1,"344_URI2/3444756.pdf"), "B-3444756")</f>
        <v>B-3444756</v>
      </c>
      <c r="T802" s="63">
        <v>3474756</v>
      </c>
      <c r="U802" s="5" t="s">
        <v>51</v>
      </c>
      <c r="V802" s="4" t="str">
        <f>HYPERLINK(CONCATENATE(TabelleURL!$B$1,"344_URI2/3444756.pdf"), "B-3444756")</f>
        <v>B-3444756</v>
      </c>
      <c r="W802" s="5"/>
      <c r="X802" s="17"/>
      <c r="Y802" s="8"/>
      <c r="AA802" s="4">
        <v>3670403</v>
      </c>
      <c r="AB802" s="2" t="s">
        <v>55</v>
      </c>
      <c r="AC802" s="18"/>
      <c r="AE802" s="2" t="str">
        <f>HYPERLINK(CONCATENATE(TabelleURL!$B$1,"367/3674755-RVC.pdf"), "3674755-RVC")</f>
        <v>3674755-RVC</v>
      </c>
      <c r="AF802" s="8" t="str">
        <f>HYPERLINK(CONCATENATE(TabelleURL!$B$1,"340_Helfer/3404700.pdf"), "B-3404700")</f>
        <v>B-3404700</v>
      </c>
      <c r="AH802" s="4" t="str">
        <f>HYPERLINK(CONCATENATE(TabelleURL!$B$1,"347_CAN2COM/3475857.pdf"), "3475857")</f>
        <v>3475857</v>
      </c>
      <c r="AI802" s="5" t="str">
        <f>HYPERLINK(CONCATENATE(TabelleURL!$B$1,"3499_Taxi/34990024.pdf"), "34990024")</f>
        <v>34990024</v>
      </c>
      <c r="AL802" s="3" t="s">
        <v>7</v>
      </c>
      <c r="AM802" s="7" t="s">
        <v>1096</v>
      </c>
      <c r="AP802" s="2" t="str">
        <f>HYPERLINK(CONCATENATE(TabelleURL!$B$1,"367/3674700.pdf"), "3674700")</f>
        <v>3674700</v>
      </c>
      <c r="AQ802" s="7" t="s">
        <v>940</v>
      </c>
      <c r="AS802" s="83" t="str">
        <f>HYPERLINK(CONCATENATE(TabelleURL!$B$1,"339_MWS/B-339VW03.pdf"), "B-339VW03")</f>
        <v>B-339VW03</v>
      </c>
      <c r="AT802" s="85" t="str">
        <f>HYPERLINK(CONCATENATE(TabelleURL!$B$1,"340_Helfer/3406856.pdf"), "B-3406856")</f>
        <v>B-3406856</v>
      </c>
    </row>
    <row r="803" spans="1:46">
      <c r="A803" s="1" t="s">
        <v>1093</v>
      </c>
      <c r="B803" s="1" t="s">
        <v>1149</v>
      </c>
      <c r="D803" s="1" t="s">
        <v>73</v>
      </c>
      <c r="G803" s="2" t="str">
        <f>HYPERLINK(CONCATENATE(TabelleURL!$B$1,"342_ADIF/342VW01.pdf"), "342VW01/0/KA")</f>
        <v>342VW01/0/KA</v>
      </c>
      <c r="H803" s="2" t="s">
        <v>923</v>
      </c>
      <c r="I803" s="2" t="str">
        <f>HYPERLINK(CONCATENATE(TabelleURL!$B$1,"342_ADIF/342VW01ZI.pdf"), " 342VW01/ZI")</f>
        <v xml:space="preserve"> 342VW01/ZI</v>
      </c>
      <c r="M803" s="5" t="str">
        <f>HYPERLINK(CONCATENATE(TabelleURL!$B$1,"345_Signalbox/3450258.pdf"), "3450258")</f>
        <v>3450258</v>
      </c>
      <c r="N803" s="5" t="str">
        <f>HYPERLINK(CONCATENATE(TabelleURL!$B$1,"345_Signalbox/3450255-H.pdf"), "3450255-H")</f>
        <v>3450255-H</v>
      </c>
      <c r="P803" s="5" t="str">
        <f>HYPERLINK(CONCATENATE(TabelleURL!$B$1,"345_Signalbox/3450258-W.pdf"), "3450258-W")</f>
        <v>3450258-W</v>
      </c>
      <c r="Q803" s="61" t="str">
        <f>HYPERLINK(CONCATENATE(TabelleURL!$B$1,"345_Signalbox/3450301.pdf"), "3450301")</f>
        <v>3450301</v>
      </c>
      <c r="R803" s="66" t="s">
        <v>221</v>
      </c>
      <c r="S803" s="67" t="str">
        <f>HYPERLINK(CONCATENATE(TabelleURL!$B$1,"344_URI2/3444755.pdf"), "B-3444757")</f>
        <v>B-3444757</v>
      </c>
      <c r="T803" s="63"/>
      <c r="U803" s="5"/>
      <c r="W803" s="5"/>
      <c r="X803" s="17"/>
      <c r="Y803" s="8"/>
      <c r="AC803" s="18"/>
      <c r="AF803" s="8" t="str">
        <f>HYPERLINK(CONCATENATE(TabelleURL!$B$1,"340_Helfer/3404700.pdf"), "B-3404700")</f>
        <v>B-3404700</v>
      </c>
      <c r="AH803" s="4" t="str">
        <f>HYPERLINK(CONCATENATE(TabelleURL!$B$1,"347_CAN2COM/3475857.pdf"), "3475857")</f>
        <v>3475857</v>
      </c>
      <c r="AI803" s="5" t="str">
        <f>HYPERLINK(CONCATENATE(TabelleURL!$B$1,"3499_Taxi/34990024.pdf"), "34990024")</f>
        <v>34990024</v>
      </c>
      <c r="AM803" s="7" t="s">
        <v>1096</v>
      </c>
      <c r="AP803" s="2" t="str">
        <f>HYPERLINK(CONCATENATE(TabelleURL!$B$1,"367/3674700.pdf"), "3674700")</f>
        <v>3674700</v>
      </c>
      <c r="AS803" s="83" t="str">
        <f>HYPERLINK(CONCATENATE(TabelleURL!$B$1,"339_MWS/B-339VW03.pdf"), "B-339VW03")</f>
        <v>B-339VW03</v>
      </c>
      <c r="AT803" s="85" t="str">
        <f>HYPERLINK(CONCATENATE(TabelleURL!$B$1,"340_Helfer/3406856.pdf"), "B-3406856")</f>
        <v>B-3406856</v>
      </c>
    </row>
    <row r="804" spans="1:46">
      <c r="A804" s="1" t="s">
        <v>1093</v>
      </c>
      <c r="B804" s="1" t="s">
        <v>1150</v>
      </c>
      <c r="C804" s="1" t="s">
        <v>1151</v>
      </c>
      <c r="D804" s="1" t="s">
        <v>231</v>
      </c>
      <c r="G804" s="2" t="str">
        <f>HYPERLINK(CONCATENATE(TabelleURL!$B$1,"342_ADIF/342VW01.pdf"), "342VW01/0/KA")</f>
        <v>342VW01/0/KA</v>
      </c>
      <c r="H804" s="2" t="s">
        <v>923</v>
      </c>
      <c r="I804" s="2" t="str">
        <f>HYPERLINK(CONCATENATE(TabelleURL!$B$1,"342_ADIF/342VW01ZI.pdf"), " 342VW01/ZI")</f>
        <v xml:space="preserve"> 342VW01/ZI</v>
      </c>
      <c r="M804" s="5" t="str">
        <f>HYPERLINK(CONCATENATE(TabelleURL!$B$1,"345_Signalbox/3450258.pdf"), "3450258")</f>
        <v>3450258</v>
      </c>
      <c r="N804" s="5" t="str">
        <f>HYPERLINK(CONCATENATE(TabelleURL!$B$1,"345_Signalbox/3450258-H.pdf"), "3450258-H")</f>
        <v>3450258-H</v>
      </c>
      <c r="P804" s="5" t="str">
        <f>HYPERLINK(CONCATENATE(TabelleURL!$B$1,"345_Signalbox/3450258-W.pdf"), "3450258-W")</f>
        <v>3450258-W</v>
      </c>
      <c r="R804" s="66" t="s">
        <v>11</v>
      </c>
      <c r="S804" s="67" t="str">
        <f>HYPERLINK(CONCATENATE(TabelleURL!$B$1,"344_URI2/3444755.pdf"), "B-3444755")</f>
        <v>B-3444755</v>
      </c>
      <c r="T804" s="63">
        <v>3470005</v>
      </c>
      <c r="U804" s="5" t="s">
        <v>51</v>
      </c>
      <c r="V804" s="4" t="str">
        <f>HYPERLINK(CONCATENATE(TabelleURL!$B$1,"344_URI2/3444755.pdf"), "B-3444755")</f>
        <v>B-3444755</v>
      </c>
      <c r="W804" s="5"/>
      <c r="X804" s="17"/>
      <c r="Y804" s="8"/>
      <c r="AA804" s="4">
        <v>3670403</v>
      </c>
      <c r="AB804" s="2" t="s">
        <v>55</v>
      </c>
      <c r="AC804" s="18"/>
      <c r="AF804" s="8" t="str">
        <f>HYPERLINK(CONCATENATE(TabelleURL!$B$1,"340_Helfer/3404700.pdf"), "B-3404700")</f>
        <v>B-3404700</v>
      </c>
      <c r="AG804" s="2" t="str">
        <f>HYPERLINK(CONCATENATE(TabelleURL!$B$1,"340_Helfer/3404701.pdf"), "3404701")</f>
        <v>3404701</v>
      </c>
      <c r="AH804" s="4" t="str">
        <f>HYPERLINK(CONCATENATE(TabelleURL!$B$1,"347_CAN2COM/3475857.pdf"), "3475857")</f>
        <v>3475857</v>
      </c>
      <c r="AI804" s="5" t="str">
        <f>HYPERLINK(CONCATENATE(TabelleURL!$B$1,"3499_Taxi/34990050.pdf"), "34990050")</f>
        <v>34990050</v>
      </c>
      <c r="AJ804" s="5" t="str">
        <f>HYPERLINK(CONCATENATE(TabelleURL!$B$1,"3499_Taxi/34990050-1.pdf"), "34990050-1")</f>
        <v>34990050-1</v>
      </c>
      <c r="AL804" s="3" t="s">
        <v>7</v>
      </c>
      <c r="AP804" s="2" t="str">
        <f>HYPERLINK(CONCATENATE(TabelleURL!$B$1,"367/3674700.pdf"), "3674700")</f>
        <v>3674700</v>
      </c>
      <c r="AQ804" s="7" t="s">
        <v>940</v>
      </c>
      <c r="AT804" s="85"/>
    </row>
    <row r="805" spans="1:46">
      <c r="A805" s="1" t="s">
        <v>1093</v>
      </c>
      <c r="B805" s="1" t="s">
        <v>1150</v>
      </c>
      <c r="C805" s="1" t="s">
        <v>1151</v>
      </c>
      <c r="D805" s="1" t="s">
        <v>1095</v>
      </c>
      <c r="G805" s="2" t="str">
        <f>HYPERLINK(CONCATENATE(TabelleURL!$B$1,"342_ADIF/342VW01.pdf"), "342VW01/0/KA")</f>
        <v>342VW01/0/KA</v>
      </c>
      <c r="H805" s="2" t="s">
        <v>923</v>
      </c>
      <c r="I805" s="2" t="str">
        <f>HYPERLINK(CONCATENATE(TabelleURL!$B$1,"342_ADIF/342VW01ZI.pdf"), " 342VW01/ZI")</f>
        <v xml:space="preserve"> 342VW01/ZI</v>
      </c>
      <c r="M805" s="5" t="str">
        <f>HYPERLINK(CONCATENATE(TabelleURL!$B$1,"345_Signalbox/3450258.pdf"), "3450258")</f>
        <v>3450258</v>
      </c>
      <c r="N805" s="5" t="str">
        <f>HYPERLINK(CONCATENATE(TabelleURL!$B$1,"345_Signalbox/3450258-H.pdf"), "3450258-H")</f>
        <v>3450258-H</v>
      </c>
      <c r="P805" s="5" t="str">
        <f>HYPERLINK(CONCATENATE(TabelleURL!$B$1,"345_Signalbox/3450258-W.pdf"), "3450258-W")</f>
        <v>3450258-W</v>
      </c>
      <c r="R805" s="66" t="s">
        <v>221</v>
      </c>
      <c r="S805" s="67" t="str">
        <f>HYPERLINK(CONCATENATE(TabelleURL!$B$1,"344_URI2/3444756.pdf"), "B-3444756")</f>
        <v>B-3444756</v>
      </c>
      <c r="T805" s="63">
        <v>3474756</v>
      </c>
      <c r="U805" s="5" t="s">
        <v>51</v>
      </c>
      <c r="V805" s="4" t="str">
        <f>HYPERLINK(CONCATENATE(TabelleURL!$B$1,"344_URI2/3444756.pdf"), "B-3444756")</f>
        <v>B-3444756</v>
      </c>
      <c r="W805" s="5"/>
      <c r="X805" s="17"/>
      <c r="Y805" s="8"/>
      <c r="AA805" s="4">
        <v>3670403</v>
      </c>
      <c r="AB805" s="2" t="s">
        <v>55</v>
      </c>
      <c r="AC805" s="18"/>
      <c r="AE805" s="2" t="str">
        <f>HYPERLINK(CONCATENATE(TabelleURL!$B$1,"367/3674755-RVC.pdf"), "3674755-RVC")</f>
        <v>3674755-RVC</v>
      </c>
      <c r="AF805" s="8" t="str">
        <f>HYPERLINK(CONCATENATE(TabelleURL!$B$1,"340_Helfer/3404700.pdf"), "B-3404700")</f>
        <v>B-3404700</v>
      </c>
      <c r="AG805" s="2" t="str">
        <f>HYPERLINK(CONCATENATE(TabelleURL!$B$1,"340_Helfer/3404701.pdf"), "3404701")</f>
        <v>3404701</v>
      </c>
      <c r="AH805" s="4" t="str">
        <f>HYPERLINK(CONCATENATE(TabelleURL!$B$1,"347_CAN2COM/3475857.pdf"), "3475857")</f>
        <v>3475857</v>
      </c>
      <c r="AI805" s="5" t="str">
        <f>HYPERLINK(CONCATENATE(TabelleURL!$B$1,"3499_Taxi/34990050.pdf"), "34990050")</f>
        <v>34990050</v>
      </c>
      <c r="AJ805" s="5" t="str">
        <f>HYPERLINK(CONCATENATE(TabelleURL!$B$1,"3499_Taxi/34990050-1.pdf"), "34990050-1")</f>
        <v>34990050-1</v>
      </c>
      <c r="AL805" s="3" t="s">
        <v>7</v>
      </c>
      <c r="AP805" s="2" t="str">
        <f>HYPERLINK(CONCATENATE(TabelleURL!$B$1,"367/3674700.pdf"), "3674700")</f>
        <v>3674700</v>
      </c>
      <c r="AT805" s="85"/>
    </row>
    <row r="806" spans="1:46">
      <c r="A806" s="1" t="s">
        <v>1093</v>
      </c>
      <c r="B806" s="1" t="s">
        <v>1150</v>
      </c>
      <c r="C806" s="1" t="s">
        <v>1151</v>
      </c>
      <c r="D806" s="1" t="s">
        <v>1095</v>
      </c>
      <c r="E806" s="76" t="s">
        <v>924</v>
      </c>
      <c r="G806" s="2" t="str">
        <f>HYPERLINK(CONCATENATE(TabelleURL!$B$1,"342_ADIF/342VW01.pdf"), "342VW01/0/KA")</f>
        <v>342VW01/0/KA</v>
      </c>
      <c r="H806" s="2" t="s">
        <v>923</v>
      </c>
      <c r="I806" s="2" t="str">
        <f>HYPERLINK(CONCATENATE(TabelleURL!$B$1,"342_ADIF/342VW01ZI.pdf"), " 342VW01/ZI")</f>
        <v xml:space="preserve"> 342VW01/ZI</v>
      </c>
      <c r="M806" s="5" t="str">
        <f>HYPERLINK(CONCATENATE(TabelleURL!$B$1,"345_Signalbox/3450258.pdf"), "3450258")</f>
        <v>3450258</v>
      </c>
      <c r="N806" s="5" t="str">
        <f>HYPERLINK(CONCATENATE(TabelleURL!$B$1,"345_Signalbox/3450258-H.pdf"), "3450258-H")</f>
        <v>3450258-H</v>
      </c>
      <c r="P806" s="5" t="str">
        <f>HYPERLINK(CONCATENATE(TabelleURL!$B$1,"345_Signalbox/3450258-W.pdf"), "3450258-W")</f>
        <v>3450258-W</v>
      </c>
      <c r="R806" s="66" t="s">
        <v>221</v>
      </c>
      <c r="S806" s="67" t="str">
        <f>HYPERLINK(CONCATENATE(TabelleURL!$B$1,"344_URI2/3444756.pdf"), "B-3444756")</f>
        <v>B-3444756</v>
      </c>
      <c r="T806" s="63">
        <v>3474756</v>
      </c>
      <c r="U806" s="5" t="s">
        <v>51</v>
      </c>
      <c r="V806" s="4" t="str">
        <f>HYPERLINK(CONCATENATE(TabelleURL!$B$1,"344_URI2/3444756.pdf"), "B-3444756")</f>
        <v>B-3444756</v>
      </c>
      <c r="W806" s="5"/>
      <c r="X806" s="17"/>
      <c r="Y806" s="8"/>
      <c r="AC806" s="18"/>
      <c r="AE806" s="2" t="str">
        <f>HYPERLINK(CONCATENATE(TabelleURL!$B$1,"367/3674755-RVC.pdf"), "3674755-RVC")</f>
        <v>3674755-RVC</v>
      </c>
      <c r="AF806" s="8" t="str">
        <f>HYPERLINK(CONCATENATE(TabelleURL!$B$1,"340_Helfer/3404700.pdf"), "B-3404700")</f>
        <v>B-3404700</v>
      </c>
      <c r="AG806" s="2" t="str">
        <f>HYPERLINK(CONCATENATE(TabelleURL!$B$1,"340_Helfer/3404701.pdf"), "3404701")</f>
        <v>3404701</v>
      </c>
      <c r="AH806" s="4" t="str">
        <f>HYPERLINK(CONCATENATE(TabelleURL!$B$1,"347_CAN2COM/3475857.pdf"), "3475857")</f>
        <v>3475857</v>
      </c>
      <c r="AI806" s="5" t="str">
        <f>HYPERLINK(CONCATENATE(TabelleURL!$B$1,"3499_Taxi/34990050.pdf"), "34990050")</f>
        <v>34990050</v>
      </c>
      <c r="AJ806" s="5" t="str">
        <f>HYPERLINK(CONCATENATE(TabelleURL!$B$1,"3499_Taxi/34990050-1.pdf"), "34990050-1")</f>
        <v>34990050-1</v>
      </c>
      <c r="AL806" s="3" t="s">
        <v>7</v>
      </c>
      <c r="AP806" s="2" t="str">
        <f>HYPERLINK(CONCATENATE(TabelleURL!$B$1,"367/3674700.pdf"), "3674700")</f>
        <v>3674700</v>
      </c>
      <c r="AT806" s="85"/>
    </row>
    <row r="807" spans="1:46">
      <c r="A807" s="1" t="s">
        <v>1093</v>
      </c>
      <c r="B807" s="1" t="s">
        <v>1150</v>
      </c>
      <c r="C807" s="1" t="s">
        <v>225</v>
      </c>
      <c r="D807" s="1" t="s">
        <v>25</v>
      </c>
      <c r="G807" s="2" t="str">
        <f>HYPERLINK(CONCATENATE(TabelleURL!$B$1,"332_ADIF/332VW05.pdf"), "332VW05KA")</f>
        <v>332VW05KA</v>
      </c>
      <c r="H807" s="2" t="s">
        <v>50</v>
      </c>
      <c r="I807" s="2" t="str">
        <f>HYPERLINK(CONCATENATE(TabelleURL!$B$1,"342_ADIF/342VW05ZI.pdf"), "342VW05/0/ZI")</f>
        <v>342VW05/0/ZI</v>
      </c>
      <c r="M807" s="5" t="str">
        <f>HYPERLINK(CONCATENATE(TabelleURL!$B$1,"345_Signalbox/3450276.pdf"), "3450276")</f>
        <v>3450276</v>
      </c>
      <c r="P807" s="5" t="str">
        <f>HYPERLINK(CONCATENATE(TabelleURL!$B$1,"345_Signalbox/3450276-W.pdf"), "3450276-W")</f>
        <v>3450276-W</v>
      </c>
      <c r="T807" s="63"/>
      <c r="U807" s="5"/>
      <c r="W807" s="5"/>
      <c r="X807" s="17"/>
      <c r="Y807" s="8"/>
      <c r="AC807" s="18"/>
      <c r="AF807" s="8" t="str">
        <f>HYPERLINK(CONCATENATE(TabelleURL!$B$1,"340_Helfer/3404700.pdf"), "B-3404700")</f>
        <v>B-3404700</v>
      </c>
      <c r="AG807" s="2" t="str">
        <f>HYPERLINK(CONCATENATE(TabelleURL!$B$1,"340_Helfer/3404701.pdf"), "3404701")</f>
        <v>3404701</v>
      </c>
      <c r="AH807" s="4" t="str">
        <f>HYPERLINK(CONCATENATE(TabelleURL!$B$1,"347_CAN2COM/3475857.pdf"), "3475857")</f>
        <v>3475857</v>
      </c>
      <c r="AI807" s="5" t="str">
        <f>HYPERLINK(CONCATENATE(TabelleURL!$B$1,"3499_Taxi/34990083.pdf"), "34990083")</f>
        <v>34990083</v>
      </c>
      <c r="AP807" s="2" t="str">
        <f>HYPERLINK(CONCATENATE(TabelleURL!$B$1,"367/3674700.pdf"), "3674700")</f>
        <v>3674700</v>
      </c>
      <c r="AT807" s="2" t="str">
        <f>HYPERLINK(CONCATENATE(TabelleURL!$B$1,"340_Helfer/3406857.pdf"), "B-3406857")</f>
        <v>B-3406857</v>
      </c>
    </row>
    <row r="808" spans="1:46">
      <c r="A808" s="1" t="s">
        <v>1093</v>
      </c>
      <c r="B808" s="1" t="s">
        <v>1152</v>
      </c>
      <c r="C808" s="1" t="s">
        <v>1153</v>
      </c>
      <c r="D808" s="1" t="s">
        <v>821</v>
      </c>
      <c r="G808" s="2" t="str">
        <f>HYPERLINK(CONCATENATE(TabelleURL!$B$1,"347_URI/3474754.pdf"), "3474754 + C-0-lang")</f>
        <v>3474754 + C-0-lang</v>
      </c>
      <c r="R808" s="66" t="s">
        <v>221</v>
      </c>
      <c r="S808" s="67" t="str">
        <f>HYPERLINK(CONCATENATE(TabelleURL!$B$1,"347_URI/3474754.pdf"), "B-3474754")</f>
        <v>B-3474754</v>
      </c>
      <c r="T808" s="63">
        <v>3474754</v>
      </c>
      <c r="U808" s="5" t="s">
        <v>51</v>
      </c>
      <c r="W808" s="5"/>
      <c r="X808" s="17"/>
      <c r="Y808" s="8"/>
      <c r="AC808" s="18"/>
      <c r="AF808" s="8" t="str">
        <f>HYPERLINK(CONCATENATE(TabelleURL!$B$1,"340_Helfer/3404700.pdf"), "B-3404700")</f>
        <v>B-3404700</v>
      </c>
      <c r="AG808" s="2" t="str">
        <f>HYPERLINK(CONCATENATE(TabelleURL!$B$1,"340_Helfer/3404701.pdf"), "3404701")</f>
        <v>3404701</v>
      </c>
      <c r="AL808" s="3" t="s">
        <v>7</v>
      </c>
      <c r="AP808" s="2" t="str">
        <f>HYPERLINK(CONCATENATE(TabelleURL!$B$1,"367/3674700.pdf"), "3674700")</f>
        <v>3674700</v>
      </c>
    </row>
    <row r="809" spans="1:46">
      <c r="A809" s="1" t="s">
        <v>1093</v>
      </c>
      <c r="B809" s="1" t="s">
        <v>1152</v>
      </c>
      <c r="C809" s="1" t="s">
        <v>1153</v>
      </c>
      <c r="D809" s="1" t="s">
        <v>231</v>
      </c>
      <c r="G809" s="2" t="str">
        <f>HYPERLINK(CONCATENATE(TabelleURL!$B$1,"347_URI/3474754.pdf"), "3474754 + C-0-lang")</f>
        <v>3474754 + C-0-lang</v>
      </c>
      <c r="M809" s="5" t="str">
        <f>HYPERLINK(CONCATENATE(TabelleURL!$B$1,"345_Signalbox/3450258.pdf"), "3450258")</f>
        <v>3450258</v>
      </c>
      <c r="N809" s="5" t="str">
        <f>HYPERLINK(CONCATENATE(TabelleURL!$B$1,"345_Signalbox/3450255-H.pdf"), "3450255-H")</f>
        <v>3450255-H</v>
      </c>
      <c r="P809" s="5" t="str">
        <f>HYPERLINK(CONCATENATE(TabelleURL!$B$1,"345_Signalbox/3450258-W.pdf"), "3450258-W")</f>
        <v>3450258-W</v>
      </c>
      <c r="R809" s="66" t="s">
        <v>221</v>
      </c>
      <c r="S809" s="67" t="str">
        <f>HYPERLINK(CONCATENATE(TabelleURL!$B$1,"347_URI/3474754.pdf"), "B-3474754")</f>
        <v>B-3474754</v>
      </c>
      <c r="T809" s="63">
        <v>3474754</v>
      </c>
      <c r="U809" s="5" t="s">
        <v>51</v>
      </c>
      <c r="W809" s="5"/>
      <c r="X809" s="17"/>
      <c r="Y809" s="8"/>
      <c r="AC809" s="18"/>
      <c r="AF809" s="8" t="str">
        <f>HYPERLINK(CONCATENATE(TabelleURL!$B$1,"340_Helfer/3404700.pdf"), "B-3404700")</f>
        <v>B-3404700</v>
      </c>
      <c r="AG809" s="2" t="str">
        <f>HYPERLINK(CONCATENATE(TabelleURL!$B$1,"340_Helfer/3404701.pdf"), "3404701")</f>
        <v>3404701</v>
      </c>
      <c r="AI809" s="5" t="str">
        <f>HYPERLINK(CONCATENATE(TabelleURL!$B$1,"3499_Taxi/34990079.pdf"), "34990079")</f>
        <v>34990079</v>
      </c>
      <c r="AL809" s="3" t="s">
        <v>7</v>
      </c>
      <c r="AP809" s="2" t="str">
        <f>HYPERLINK(CONCATENATE(TabelleURL!$B$1,"367/3674700.pdf"), "3674700")</f>
        <v>3674700</v>
      </c>
    </row>
    <row r="810" spans="1:46">
      <c r="A810" s="1" t="s">
        <v>1093</v>
      </c>
      <c r="B810" s="1" t="s">
        <v>1152</v>
      </c>
      <c r="C810" s="1" t="s">
        <v>1154</v>
      </c>
      <c r="D810" s="1" t="s">
        <v>27</v>
      </c>
      <c r="E810" s="76" t="s">
        <v>1004</v>
      </c>
      <c r="G810" s="2" t="str">
        <f>HYPERLINK(CONCATENATE(TabelleURL!$B$1,"332_ADIF/332VW05.pdf"), "332VW05KA")</f>
        <v>332VW05KA</v>
      </c>
      <c r="I810" s="2" t="str">
        <f>HYPERLINK(CONCATENATE(TabelleURL!$B$1,"342_ADIF/342VW05ZI.pdf"), "342VW05/0/ZI")</f>
        <v>342VW05/0/ZI</v>
      </c>
      <c r="M810" s="5" t="str">
        <f>HYPERLINK(CONCATENATE(TabelleURL!$B$1,"345_Signalbox/3450265.pdf"), "3450265")</f>
        <v>3450265</v>
      </c>
      <c r="T810" s="63"/>
      <c r="U810" s="5"/>
      <c r="W810" s="5"/>
      <c r="X810" s="17"/>
      <c r="Y810" s="8"/>
      <c r="AC810" s="18"/>
      <c r="AQ810" s="7" t="s">
        <v>1155</v>
      </c>
    </row>
    <row r="811" spans="1:46">
      <c r="A811" s="1" t="s">
        <v>1093</v>
      </c>
      <c r="B811" s="1" t="s">
        <v>1152</v>
      </c>
      <c r="C811" s="1" t="s">
        <v>1154</v>
      </c>
      <c r="D811" s="1" t="s">
        <v>27</v>
      </c>
      <c r="E811" s="76" t="s">
        <v>1007</v>
      </c>
      <c r="F811" s="70" t="s">
        <v>1156</v>
      </c>
      <c r="G811" s="2" t="str">
        <f>HYPERLINK(CONCATENATE(TabelleURL!$B$1,"342_ADIF/342VW05.pdf"), "332VW05")</f>
        <v>332VW05</v>
      </c>
      <c r="T811" s="63"/>
      <c r="U811" s="5"/>
      <c r="W811" s="5"/>
      <c r="X811" s="17"/>
      <c r="Y811" s="8"/>
      <c r="AC811" s="18"/>
    </row>
    <row r="812" spans="1:46">
      <c r="A812" s="1" t="s">
        <v>1093</v>
      </c>
      <c r="B812" s="1" t="s">
        <v>1157</v>
      </c>
      <c r="C812" s="1" t="s">
        <v>1158</v>
      </c>
      <c r="D812" s="1" t="s">
        <v>400</v>
      </c>
      <c r="G812" s="2" t="str">
        <f>HYPERLINK(CONCATENATE(TabelleURL!$B$1,"342_ADIF/342VW01.pdf"), "342VW01/0/KA")</f>
        <v>342VW01/0/KA</v>
      </c>
      <c r="H812" s="2" t="s">
        <v>923</v>
      </c>
      <c r="I812" s="2" t="str">
        <f>HYPERLINK(CONCATENATE(TabelleURL!$B$1,"342_ADIF/342VW01ZI.pdf"), " 342VW01/ZI")</f>
        <v xml:space="preserve"> 342VW01/ZI</v>
      </c>
      <c r="M812" s="5" t="str">
        <f>HYPERLINK(CONCATENATE(TabelleURL!$B$1,"345_Signalbox/3450258.pdf"), "3450258")</f>
        <v>3450258</v>
      </c>
      <c r="N812" s="5" t="str">
        <f>HYPERLINK(CONCATENATE(TabelleURL!$B$1,"345_Signalbox/3450258-H.pdf"), "3450258-H")</f>
        <v>3450258-H</v>
      </c>
      <c r="P812" s="5" t="str">
        <f>HYPERLINK(CONCATENATE(TabelleURL!$B$1,"345_Signalbox/3450258-W.pdf"), "3450258-W")</f>
        <v>3450258-W</v>
      </c>
      <c r="R812" s="66" t="s">
        <v>11</v>
      </c>
      <c r="S812" s="67" t="str">
        <f>HYPERLINK(CONCATENATE(TabelleURL!$B$1,"344_URI2/3444755.pdf"), "B-3444755")</f>
        <v>B-3444755</v>
      </c>
      <c r="T812" s="63">
        <v>3470005</v>
      </c>
      <c r="U812" s="5" t="s">
        <v>51</v>
      </c>
      <c r="V812" s="4" t="str">
        <f>HYPERLINK(CONCATENATE(TabelleURL!$B$1,"344_URI2/3444755.pdf"), "B-3444755")</f>
        <v>B-3444755</v>
      </c>
      <c r="W812" s="5"/>
      <c r="X812" s="17"/>
      <c r="Y812" s="8"/>
      <c r="AA812" s="4">
        <v>3670403</v>
      </c>
      <c r="AB812" s="2" t="s">
        <v>55</v>
      </c>
      <c r="AC812" s="18"/>
      <c r="AF812" s="8" t="str">
        <f>HYPERLINK(CONCATENATE(TabelleURL!$B$1,"340_Helfer/3404700.pdf"), "B-3404700")</f>
        <v>B-3404700</v>
      </c>
      <c r="AG812" s="2" t="str">
        <f>HYPERLINK(CONCATENATE(TabelleURL!$B$1,"340_Helfer/3404701.pdf"), "3404701")</f>
        <v>3404701</v>
      </c>
      <c r="AH812" s="4" t="str">
        <f>HYPERLINK(CONCATENATE(TabelleURL!$B$1,"347_CAN2COM/3475857.pdf"), "3475857")</f>
        <v>3475857</v>
      </c>
      <c r="AI812" s="5" t="str">
        <f>HYPERLINK(CONCATENATE(TabelleURL!$B$1,"3499_Taxi/34990050.pdf"), "34990050")</f>
        <v>34990050</v>
      </c>
      <c r="AJ812" s="5" t="str">
        <f>HYPERLINK(CONCATENATE(TabelleURL!$B$1,"3499_Taxi/34990050-1.pdf"), "34990050-1")</f>
        <v>34990050-1</v>
      </c>
      <c r="AL812" s="3" t="s">
        <v>7</v>
      </c>
      <c r="AP812" s="2" t="str">
        <f>HYPERLINK(CONCATENATE(TabelleURL!$B$1,"367/3674700.pdf"), "3674700")</f>
        <v>3674700</v>
      </c>
      <c r="AT812" s="85"/>
    </row>
    <row r="813" spans="1:46">
      <c r="A813" s="1" t="s">
        <v>1093</v>
      </c>
      <c r="B813" s="1" t="s">
        <v>1157</v>
      </c>
      <c r="C813" s="1" t="s">
        <v>1159</v>
      </c>
      <c r="D813" s="1" t="s">
        <v>231</v>
      </c>
      <c r="G813" s="2" t="str">
        <f>HYPERLINK(CONCATENATE(TabelleURL!$B$1,"342_ADIF/342VW01.pdf"), "342VW01/0/KA")</f>
        <v>342VW01/0/KA</v>
      </c>
      <c r="H813" s="2" t="s">
        <v>923</v>
      </c>
      <c r="I813" s="2" t="str">
        <f>HYPERLINK(CONCATENATE(TabelleURL!$B$1,"342_ADIF/342VW01ZI.pdf"), " 342VW01/ZI")</f>
        <v xml:space="preserve"> 342VW01/ZI</v>
      </c>
      <c r="M813" s="5" t="str">
        <f>HYPERLINK(CONCATENATE(TabelleURL!$B$1,"345_Signalbox/3450258.pdf"), "3450258")</f>
        <v>3450258</v>
      </c>
      <c r="N813" s="5" t="str">
        <f>HYPERLINK(CONCATENATE(TabelleURL!$B$1,"345_Signalbox/3450258-H.pdf"), "3450258-H")</f>
        <v>3450258-H</v>
      </c>
      <c r="P813" s="5" t="str">
        <f>HYPERLINK(CONCATENATE(TabelleURL!$B$1,"345_Signalbox/3450258-W.pdf"), "3450258-W")</f>
        <v>3450258-W</v>
      </c>
      <c r="R813" s="66" t="s">
        <v>11</v>
      </c>
      <c r="S813" s="67" t="str">
        <f>HYPERLINK(CONCATENATE(TabelleURL!$B$1,"344_URI2/3444755.pdf"), "B-3444755")</f>
        <v>B-3444755</v>
      </c>
      <c r="T813" s="63">
        <v>3470005</v>
      </c>
      <c r="U813" s="5" t="s">
        <v>51</v>
      </c>
      <c r="V813" s="4" t="str">
        <f>HYPERLINK(CONCATENATE(TabelleURL!$B$1,"344_URI2/3444755.pdf"), "B-3444755")</f>
        <v>B-3444755</v>
      </c>
      <c r="W813" s="5"/>
      <c r="X813" s="17"/>
      <c r="Y813" s="8"/>
      <c r="AA813" s="4">
        <v>3670403</v>
      </c>
      <c r="AB813" s="2" t="s">
        <v>55</v>
      </c>
      <c r="AC813" s="18"/>
      <c r="AF813" s="8" t="str">
        <f>HYPERLINK(CONCATENATE(TabelleURL!$B$1,"340_Helfer/3404700.pdf"), "B-3404700")</f>
        <v>B-3404700</v>
      </c>
      <c r="AG813" s="2" t="str">
        <f>HYPERLINK(CONCATENATE(TabelleURL!$B$1,"340_Helfer/3404701.pdf"), "3404701")</f>
        <v>3404701</v>
      </c>
      <c r="AH813" s="4" t="str">
        <f>HYPERLINK(CONCATENATE(TabelleURL!$B$1,"347_CAN2COM/3475857.pdf"), "3475857")</f>
        <v>3475857</v>
      </c>
      <c r="AI813" s="5" t="str">
        <f>HYPERLINK(CONCATENATE(TabelleURL!$B$1,"3499_Taxi/34990050.pdf"), "34990050")</f>
        <v>34990050</v>
      </c>
      <c r="AJ813" s="5" t="str">
        <f>HYPERLINK(CONCATENATE(TabelleURL!$B$1,"3499_Taxi/34990050-1.pdf"), "34990050-1")</f>
        <v>34990050-1</v>
      </c>
      <c r="AL813" s="3" t="s">
        <v>7</v>
      </c>
      <c r="AP813" s="2" t="str">
        <f>HYPERLINK(CONCATENATE(TabelleURL!$B$1,"367/3674700.pdf"), "3674700")</f>
        <v>3674700</v>
      </c>
      <c r="AQ813" s="7" t="s">
        <v>940</v>
      </c>
      <c r="AT813" s="85"/>
    </row>
    <row r="814" spans="1:46">
      <c r="A814" s="1" t="s">
        <v>1093</v>
      </c>
      <c r="B814" s="1" t="s">
        <v>1157</v>
      </c>
      <c r="C814" s="1" t="s">
        <v>1158</v>
      </c>
      <c r="D814" s="1" t="s">
        <v>263</v>
      </c>
      <c r="G814" s="2" t="str">
        <f>HYPERLINK(CONCATENATE(TabelleURL!$B$1,"342_ADIF/342VW01.pdf"), "342VW01/0/KA")</f>
        <v>342VW01/0/KA</v>
      </c>
      <c r="H814" s="2" t="s">
        <v>923</v>
      </c>
      <c r="I814" s="2" t="str">
        <f>HYPERLINK(CONCATENATE(TabelleURL!$B$1,"342_ADIF/342VW01ZI.pdf"), " 342VW01/ZI")</f>
        <v xml:space="preserve"> 342VW01/ZI</v>
      </c>
      <c r="M814" s="5" t="str">
        <f>HYPERLINK(CONCATENATE(TabelleURL!$B$1,"345_Signalbox/3450258.pdf"), "3450258")</f>
        <v>3450258</v>
      </c>
      <c r="N814" s="5" t="str">
        <f>HYPERLINK(CONCATENATE(TabelleURL!$B$1,"345_Signalbox/3450258-H.pdf"), "3450258-H")</f>
        <v>3450258-H</v>
      </c>
      <c r="P814" s="5" t="str">
        <f>HYPERLINK(CONCATENATE(TabelleURL!$B$1,"345_Signalbox/3450258-W.pdf"), "3450258-W")</f>
        <v>3450258-W</v>
      </c>
      <c r="R814" s="66" t="s">
        <v>221</v>
      </c>
      <c r="S814" s="67" t="str">
        <f>HYPERLINK(CONCATENATE(TabelleURL!$B$1,"344_URI2/3444756.pdf"), "B-3444756")</f>
        <v>B-3444756</v>
      </c>
      <c r="T814" s="63">
        <v>3474756</v>
      </c>
      <c r="U814" s="5" t="s">
        <v>51</v>
      </c>
      <c r="V814" s="4" t="str">
        <f>HYPERLINK(CONCATENATE(TabelleURL!$B$1,"344_URI2/3444756.pdf"), "B-3444756")</f>
        <v>B-3444756</v>
      </c>
      <c r="W814" s="5"/>
      <c r="X814" s="17"/>
      <c r="Y814" s="8"/>
      <c r="AA814" s="4">
        <v>3670403</v>
      </c>
      <c r="AB814" s="2" t="s">
        <v>55</v>
      </c>
      <c r="AC814" s="18"/>
      <c r="AE814" s="2" t="str">
        <f>HYPERLINK(CONCATENATE(TabelleURL!$B$1,"367/3674755-RVC.pdf"), "3674755-RVC")</f>
        <v>3674755-RVC</v>
      </c>
      <c r="AF814" s="8" t="str">
        <f>HYPERLINK(CONCATENATE(TabelleURL!$B$1,"340_Helfer/3404700.pdf"), "B-3404700")</f>
        <v>B-3404700</v>
      </c>
      <c r="AG814" s="2" t="str">
        <f>HYPERLINK(CONCATENATE(TabelleURL!$B$1,"340_Helfer/3404701.pdf"), "3404701")</f>
        <v>3404701</v>
      </c>
      <c r="AH814" s="4" t="str">
        <f>HYPERLINK(CONCATENATE(TabelleURL!$B$1,"347_CAN2COM/3475857.pdf"), "3475857")</f>
        <v>3475857</v>
      </c>
      <c r="AI814" s="5" t="str">
        <f>HYPERLINK(CONCATENATE(TabelleURL!$B$1,"3499_Taxi/34990050.pdf"), "34990050")</f>
        <v>34990050</v>
      </c>
      <c r="AJ814" s="5" t="str">
        <f>HYPERLINK(CONCATENATE(TabelleURL!$B$1,"3499_Taxi/34990050-1.pdf"), "34990050-1")</f>
        <v>34990050-1</v>
      </c>
      <c r="AL814" s="3" t="s">
        <v>7</v>
      </c>
      <c r="AP814" s="2" t="str">
        <f>HYPERLINK(CONCATENATE(TabelleURL!$B$1,"367/3674700.pdf"), "3674700")</f>
        <v>3674700</v>
      </c>
      <c r="AT814" s="85"/>
    </row>
    <row r="815" spans="1:46">
      <c r="A815" s="1" t="s">
        <v>1093</v>
      </c>
      <c r="B815" s="1" t="s">
        <v>1157</v>
      </c>
      <c r="C815" s="1" t="s">
        <v>1158</v>
      </c>
      <c r="D815" s="1" t="s">
        <v>263</v>
      </c>
      <c r="E815" s="76" t="s">
        <v>924</v>
      </c>
      <c r="G815" s="2" t="str">
        <f>HYPERLINK(CONCATENATE(TabelleURL!$B$1,"342_ADIF/342VW01.pdf"), "342VW01/0/KA")</f>
        <v>342VW01/0/KA</v>
      </c>
      <c r="H815" s="2" t="s">
        <v>923</v>
      </c>
      <c r="I815" s="2" t="str">
        <f>HYPERLINK(CONCATENATE(TabelleURL!$B$1,"342_ADIF/342VW01ZI.pdf"), " 342VW01/ZI")</f>
        <v xml:space="preserve"> 342VW01/ZI</v>
      </c>
      <c r="M815" s="5" t="str">
        <f>HYPERLINK(CONCATENATE(TabelleURL!$B$1,"345_Signalbox/3450258.pdf"), "3450258")</f>
        <v>3450258</v>
      </c>
      <c r="N815" s="5" t="str">
        <f>HYPERLINK(CONCATENATE(TabelleURL!$B$1,"345_Signalbox/3450258-H.pdf"), "3450258-H")</f>
        <v>3450258-H</v>
      </c>
      <c r="P815" s="5" t="str">
        <f>HYPERLINK(CONCATENATE(TabelleURL!$B$1,"345_Signalbox/3450258-W.pdf"), "3450258-W")</f>
        <v>3450258-W</v>
      </c>
      <c r="R815" s="66" t="s">
        <v>221</v>
      </c>
      <c r="S815" s="67" t="str">
        <f>HYPERLINK(CONCATENATE(TabelleURL!$B$1,"344_URI2/3444756.pdf"), "B-3444756")</f>
        <v>B-3444756</v>
      </c>
      <c r="T815" s="63">
        <v>3474756</v>
      </c>
      <c r="U815" s="5" t="s">
        <v>51</v>
      </c>
      <c r="V815" s="4" t="str">
        <f>HYPERLINK(CONCATENATE(TabelleURL!$B$1,"344_URI2/3444756.pdf"), "B-3444756")</f>
        <v>B-3444756</v>
      </c>
      <c r="W815" s="5"/>
      <c r="X815" s="17"/>
      <c r="Y815" s="8"/>
      <c r="AA815" s="4">
        <v>3670403</v>
      </c>
      <c r="AB815" s="2" t="s">
        <v>55</v>
      </c>
      <c r="AC815" s="18"/>
      <c r="AE815" s="2" t="str">
        <f>HYPERLINK(CONCATENATE(TabelleURL!$B$1,"367/3674755-RVC.pdf"), "3674755-RVC")</f>
        <v>3674755-RVC</v>
      </c>
      <c r="AF815" s="8" t="str">
        <f>HYPERLINK(CONCATENATE(TabelleURL!$B$1,"340_Helfer/3404700.pdf"), "B-3404700")</f>
        <v>B-3404700</v>
      </c>
      <c r="AG815" s="2" t="str">
        <f>HYPERLINK(CONCATENATE(TabelleURL!$B$1,"340_Helfer/3404701.pdf"), "3404701")</f>
        <v>3404701</v>
      </c>
      <c r="AH815" s="4" t="str">
        <f>HYPERLINK(CONCATENATE(TabelleURL!$B$1,"347_CAN2COM/3475857.pdf"), "3475857")</f>
        <v>3475857</v>
      </c>
      <c r="AI815" s="5" t="str">
        <f>HYPERLINK(CONCATENATE(TabelleURL!$B$1,"3499_Taxi/34990050.pdf"), "34990050")</f>
        <v>34990050</v>
      </c>
      <c r="AJ815" s="5" t="str">
        <f>HYPERLINK(CONCATENATE(TabelleURL!$B$1,"3499_Taxi/34990050-1.pdf"), "34990050-1")</f>
        <v>34990050-1</v>
      </c>
      <c r="AL815" s="3" t="s">
        <v>7</v>
      </c>
      <c r="AP815" s="2" t="str">
        <f>HYPERLINK(CONCATENATE(TabelleURL!$B$1,"367/3674700.pdf"), "3674700")</f>
        <v>3674700</v>
      </c>
      <c r="AT815" s="85"/>
    </row>
    <row r="816" spans="1:46">
      <c r="A816" s="1" t="s">
        <v>1093</v>
      </c>
      <c r="B816" s="1" t="s">
        <v>1157</v>
      </c>
      <c r="C816" s="1" t="s">
        <v>225</v>
      </c>
      <c r="D816" s="1" t="s">
        <v>73</v>
      </c>
      <c r="G816" s="2" t="str">
        <f>HYPERLINK(CONCATENATE(TabelleURL!$B$1,"332_ADIF/332VW05.pdf"), "332VW05KA")</f>
        <v>332VW05KA</v>
      </c>
      <c r="H816" s="2" t="s">
        <v>50</v>
      </c>
      <c r="I816" s="2" t="str">
        <f>HYPERLINK(CONCATENATE(TabelleURL!$B$1,"342_ADIF/342VW05ZI.pdf"), "342VW05/0/ZI")</f>
        <v>342VW05/0/ZI</v>
      </c>
      <c r="M816" s="5" t="str">
        <f>HYPERLINK(CONCATENATE(TabelleURL!$B$1,"345_Signalbox/3450276.pdf"), "3450276")</f>
        <v>3450276</v>
      </c>
      <c r="P816" s="5" t="str">
        <f>HYPERLINK(CONCATENATE(TabelleURL!$B$1,"345_Signalbox/3450276-W.pdf"), "3450276-W")</f>
        <v>3450276-W</v>
      </c>
      <c r="T816" s="63"/>
      <c r="U816" s="5"/>
      <c r="W816" s="5"/>
      <c r="X816" s="17"/>
      <c r="Y816" s="8"/>
      <c r="AC816" s="18"/>
      <c r="AF816" s="8" t="str">
        <f>HYPERLINK(CONCATENATE(TabelleURL!$B$1,"340_Helfer/3404700.pdf"), "B-3404700")</f>
        <v>B-3404700</v>
      </c>
      <c r="AG816" s="2" t="str">
        <f>HYPERLINK(CONCATENATE(TabelleURL!$B$1,"340_Helfer/3404701.pdf"), "3404701")</f>
        <v>3404701</v>
      </c>
      <c r="AH816" s="4" t="str">
        <f>HYPERLINK(CONCATENATE(TabelleURL!$B$1,"347_CAN2COM/3475857.pdf"), "3475857")</f>
        <v>3475857</v>
      </c>
      <c r="AI816" s="5" t="str">
        <f>HYPERLINK(CONCATENATE(TabelleURL!$B$1,"3499_Taxi/34990083.pdf"), "34990083")</f>
        <v>34990083</v>
      </c>
      <c r="AP816" s="2" t="str">
        <f>HYPERLINK(CONCATENATE(TabelleURL!$B$1,"367/3674700.pdf"), "3674700")</f>
        <v>3674700</v>
      </c>
      <c r="AS816" s="83" t="str">
        <f>HYPERLINK(CONCATENATE(TabelleURL!$B$1,"339_MWS/B-339VW01.pdf"), "B-339VW01")</f>
        <v>B-339VW01</v>
      </c>
      <c r="AT816" s="2" t="str">
        <f>HYPERLINK(CONCATENATE(TabelleURL!$B$1,"340_Helfer/3406857.pdf"), "B-3406857")</f>
        <v>B-3406857</v>
      </c>
    </row>
    <row r="817" spans="1:46">
      <c r="A817" s="1" t="s">
        <v>1093</v>
      </c>
      <c r="B817" s="1" t="s">
        <v>1157</v>
      </c>
      <c r="C817" s="1" t="s">
        <v>225</v>
      </c>
      <c r="D817" s="1" t="s">
        <v>73</v>
      </c>
      <c r="E817" s="76" t="s">
        <v>1383</v>
      </c>
      <c r="G817" s="2" t="str">
        <f>HYPERLINK(CONCATENATE(TabelleURL!$B$1,"332_ADIF/332VW05.pdf"), "332VW05KA")</f>
        <v>332VW05KA</v>
      </c>
      <c r="H817" s="2" t="s">
        <v>50</v>
      </c>
      <c r="I817" s="2" t="str">
        <f>HYPERLINK(CONCATENATE(TabelleURL!$B$1,"342_ADIF/342VW05ZI.pdf"), "342VW05/0/ZI")</f>
        <v>342VW05/0/ZI</v>
      </c>
      <c r="M817" s="5" t="str">
        <f>HYPERLINK(CONCATENATE(TabelleURL!$B$1,"345_Signalbox/3450276.pdf"), "3450276")</f>
        <v>3450276</v>
      </c>
      <c r="P817" s="5" t="str">
        <f>HYPERLINK(CONCATENATE(TabelleURL!$B$1,"345_Signalbox/3450276-W.pdf"), "3450276-W")</f>
        <v>3450276-W</v>
      </c>
      <c r="T817" s="63"/>
      <c r="U817" s="5"/>
      <c r="W817" s="5"/>
      <c r="X817" s="17"/>
      <c r="Y817" s="8"/>
      <c r="AC817" s="18"/>
      <c r="AF817" s="8" t="str">
        <f>HYPERLINK(CONCATENATE(TabelleURL!$B$1,"340_Helfer/3404700.pdf"), "B-3404700")</f>
        <v>B-3404700</v>
      </c>
      <c r="AG817" s="2" t="str">
        <f>HYPERLINK(CONCATENATE(TabelleURL!$B$1,"340_Helfer/3404701.pdf"), "3404701")</f>
        <v>3404701</v>
      </c>
      <c r="AH817" s="4" t="str">
        <f>HYPERLINK(CONCATENATE(TabelleURL!$B$1,"347_CAN2COM/3475857.pdf"), "3475857")</f>
        <v>3475857</v>
      </c>
      <c r="AI817" s="5" t="str">
        <f>HYPERLINK(CONCATENATE(TabelleURL!$B$1,"3499_Taxi/34990083.pdf"), "34990083")</f>
        <v>34990083</v>
      </c>
      <c r="AP817" s="2" t="str">
        <f>HYPERLINK(CONCATENATE(TabelleURL!$B$1,"367/3674700.pdf"), "3674700")</f>
        <v>3674700</v>
      </c>
      <c r="AS817" s="83" t="str">
        <f>HYPERLINK(CONCATENATE(TabelleURL!$B$1,"339_MWS/B-339VW02.pdf"), "B-339VW02")</f>
        <v>B-339VW02</v>
      </c>
      <c r="AT817" s="2" t="str">
        <f>HYPERLINK(CONCATENATE(TabelleURL!$B$1,"340_Helfer/3406857.pdf"), "B-3406857")</f>
        <v>B-3406857</v>
      </c>
    </row>
    <row r="818" spans="1:46">
      <c r="A818" s="1" t="s">
        <v>1093</v>
      </c>
      <c r="B818" s="1" t="s">
        <v>1416</v>
      </c>
      <c r="C818" s="1" t="s">
        <v>1417</v>
      </c>
      <c r="D818" s="1" t="s">
        <v>104</v>
      </c>
      <c r="E818" s="76" t="s">
        <v>1415</v>
      </c>
      <c r="T818" s="63"/>
      <c r="U818" s="5"/>
      <c r="W818" s="5"/>
      <c r="X818" s="17"/>
      <c r="Y818" s="8"/>
      <c r="AC818" s="18"/>
      <c r="AG818" s="2"/>
      <c r="AP818" s="2"/>
      <c r="AS818" s="83"/>
      <c r="AT818" s="2"/>
    </row>
    <row r="819" spans="1:46">
      <c r="A819" s="1" t="s">
        <v>1093</v>
      </c>
      <c r="B819" s="1" t="s">
        <v>1160</v>
      </c>
      <c r="D819" s="1" t="s">
        <v>86</v>
      </c>
      <c r="G819" s="2" t="str">
        <f>HYPERLINK(CONCATENATE(TabelleURL!$B$1,"342_ADIF/342VW01.pdf"), "342VW01/0/KA")</f>
        <v>342VW01/0/KA</v>
      </c>
      <c r="H819" s="2" t="s">
        <v>923</v>
      </c>
      <c r="I819" s="2" t="str">
        <f>HYPERLINK(CONCATENATE(TabelleURL!$B$1,"342_ADIF/342VW01ZI.pdf"), " 342VW01/ZI")</f>
        <v xml:space="preserve"> 342VW01/ZI</v>
      </c>
      <c r="R819" s="66" t="s">
        <v>11</v>
      </c>
      <c r="S819" s="67" t="str">
        <f>HYPERLINK(CONCATENATE(TabelleURL!$B$1,"344_URI2/3444755.pdf"), "B-3444755")</f>
        <v>B-3444755</v>
      </c>
      <c r="T819" s="63"/>
      <c r="U819" s="5"/>
      <c r="V819" s="4" t="str">
        <f>HYPERLINK(CONCATENATE(TabelleURL!$B$1,"344_URI2/3444755.pdf"), "B-3444755")</f>
        <v>B-3444755</v>
      </c>
      <c r="W819" s="5"/>
      <c r="X819" s="17"/>
      <c r="Y819" s="8"/>
      <c r="AB819" s="2" t="s">
        <v>55</v>
      </c>
      <c r="AC819" s="18"/>
      <c r="AE819" s="2" t="str">
        <f>HYPERLINK(CONCATENATE(TabelleURL!$B$1,"367/3674755-RVC.pdf"), "3674755-RVC")</f>
        <v>3674755-RVC</v>
      </c>
      <c r="AF819" s="8" t="str">
        <f>HYPERLINK(CONCATENATE(TabelleURL!$B$1,"340_Helfer/3404700.pdf"), "B-3404700")</f>
        <v>B-3404700</v>
      </c>
      <c r="AH819" s="4" t="str">
        <f>HYPERLINK(CONCATENATE(TabelleURL!$B$1,"347_CAN2COM/3475857.pdf"), "3475857")</f>
        <v>3475857</v>
      </c>
      <c r="AP819" s="2" t="str">
        <f>HYPERLINK(CONCATENATE(TabelleURL!$B$1,"367/3674700.pdf"), "3674700")</f>
        <v>3674700</v>
      </c>
    </row>
  </sheetData>
  <sheetProtection password="CDDB" sheet="1" objects="1" scenarios="1" formatCells="0" formatColumns="0" formatRows="0" insertColumns="0" insertRows="0" insertHyperlinks="0" deleteColumns="0" deleteRows="0" autoFilter="0"/>
  <autoFilter ref="A4:D819">
    <sortState ref="A728:D793">
      <sortCondition ref="B4:B793"/>
    </sortState>
  </autoFilter>
  <mergeCells count="8">
    <mergeCell ref="F1:Q2"/>
    <mergeCell ref="R1:AG2"/>
    <mergeCell ref="AH1:AT2"/>
    <mergeCell ref="A3:E3"/>
    <mergeCell ref="R3:S3"/>
    <mergeCell ref="T3:U3"/>
    <mergeCell ref="X3:Y3"/>
    <mergeCell ref="AC3:AD3"/>
  </mergeCells>
  <dataValidations disablePrompts="1" count="1">
    <dataValidation type="list" operator="equal" allowBlank="1" showErrorMessage="1" sqref="B2">
      <formula1>"Deutsch,English,Espanol"</formula1>
      <formula2>0</formula2>
    </dataValidation>
  </dataValidations>
  <pageMargins left="0.7" right="0.7" top="0.78749999999999998" bottom="0.78749999999999998" header="0.51180555555555551" footer="0.51180555555555551"/>
  <pageSetup paperSize="9" scale="61" firstPageNumber="0" orientation="portrait" horizontalDpi="300" verticalDpi="300" r:id="rId1"/>
  <headerFooter alignWithMargins="0"/>
  <rowBreaks count="3" manualBreakCount="3">
    <brk id="168" max="16383" man="1"/>
    <brk id="347" max="16383" man="1"/>
    <brk id="560" max="16383" man="1"/>
  </rowBreaks>
  <colBreaks count="1" manualBreakCount="1">
    <brk id="12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zoomScale="65" zoomScaleNormal="65" zoomScaleSheetLayoutView="100" workbookViewId="0">
      <selection sqref="A1:L2"/>
    </sheetView>
  </sheetViews>
  <sheetFormatPr baseColWidth="10" defaultColWidth="11.5703125" defaultRowHeight="12.75"/>
  <sheetData>
    <row r="2" spans="1:2" ht="38.25">
      <c r="A2" s="28" t="s">
        <v>1161</v>
      </c>
      <c r="B2" t="s">
        <v>1162</v>
      </c>
    </row>
    <row r="3" spans="1:2" ht="51">
      <c r="A3" s="28" t="s">
        <v>1163</v>
      </c>
      <c r="B3" t="s">
        <v>1164</v>
      </c>
    </row>
    <row r="4" spans="1:2" ht="38.25">
      <c r="A4" s="29" t="s">
        <v>1165</v>
      </c>
      <c r="B4" t="s">
        <v>1166</v>
      </c>
    </row>
    <row r="5" spans="1:2" ht="51">
      <c r="A5" s="29" t="s">
        <v>1167</v>
      </c>
      <c r="B5" t="s">
        <v>1168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="65" zoomScaleNormal="65" zoomScaleSheetLayoutView="100" workbookViewId="0">
      <selection sqref="A1:L2"/>
    </sheetView>
  </sheetViews>
  <sheetFormatPr baseColWidth="10" defaultColWidth="11.5703125" defaultRowHeight="12.75"/>
  <sheetData>
    <row r="1" spans="1:3" ht="25.5">
      <c r="A1" s="30" t="s">
        <v>1169</v>
      </c>
    </row>
    <row r="2" spans="1:3" ht="25.5">
      <c r="A2" t="s">
        <v>1170</v>
      </c>
      <c r="C2" t="s">
        <v>1171</v>
      </c>
    </row>
    <row r="5" spans="1:3">
      <c r="A5" t="s">
        <v>1172</v>
      </c>
      <c r="C5" t="s">
        <v>1173</v>
      </c>
    </row>
    <row r="6" spans="1:3">
      <c r="A6" t="s">
        <v>1174</v>
      </c>
      <c r="C6" t="s">
        <v>1175</v>
      </c>
    </row>
    <row r="7" spans="1:3">
      <c r="A7" t="s">
        <v>1176</v>
      </c>
      <c r="C7" t="s">
        <v>1177</v>
      </c>
    </row>
    <row r="8" spans="1:3">
      <c r="A8" t="s">
        <v>1178</v>
      </c>
      <c r="C8" t="s">
        <v>1179</v>
      </c>
    </row>
    <row r="9" spans="1:3" ht="25.5">
      <c r="A9" t="s">
        <v>1180</v>
      </c>
      <c r="C9" t="s">
        <v>1181</v>
      </c>
    </row>
    <row r="10" spans="1:3" ht="25.5">
      <c r="A10" t="s">
        <v>1182</v>
      </c>
      <c r="C10" t="s">
        <v>1183</v>
      </c>
    </row>
    <row r="11" spans="1:3">
      <c r="A11" t="s">
        <v>1184</v>
      </c>
      <c r="C11" t="s">
        <v>1185</v>
      </c>
    </row>
    <row r="12" spans="1:3" ht="25.5">
      <c r="A12" t="s">
        <v>1186</v>
      </c>
      <c r="C12" t="s">
        <v>1187</v>
      </c>
    </row>
    <row r="13" spans="1:3">
      <c r="A13" t="s">
        <v>1188</v>
      </c>
      <c r="C13" t="s">
        <v>1189</v>
      </c>
    </row>
    <row r="14" spans="1:3">
      <c r="A14" t="s">
        <v>1190</v>
      </c>
      <c r="C14" t="s">
        <v>1191</v>
      </c>
    </row>
    <row r="15" spans="1:3">
      <c r="A15" t="s">
        <v>1192</v>
      </c>
      <c r="C15" t="s">
        <v>1193</v>
      </c>
    </row>
    <row r="16" spans="1:3">
      <c r="A16" t="s">
        <v>1194</v>
      </c>
      <c r="C16" t="s">
        <v>1195</v>
      </c>
    </row>
    <row r="17" spans="1:3">
      <c r="A17" t="s">
        <v>1196</v>
      </c>
      <c r="C17" t="s">
        <v>1197</v>
      </c>
    </row>
    <row r="18" spans="1:3" ht="25.5">
      <c r="A18" t="s">
        <v>1198</v>
      </c>
      <c r="C18" t="s">
        <v>1199</v>
      </c>
    </row>
    <row r="19" spans="1:3">
      <c r="A19" t="s">
        <v>1200</v>
      </c>
      <c r="C19" t="s">
        <v>1201</v>
      </c>
    </row>
    <row r="20" spans="1:3" ht="25.5">
      <c r="A20" t="s">
        <v>1202</v>
      </c>
      <c r="C20" t="s">
        <v>1203</v>
      </c>
    </row>
    <row r="23" spans="1:3">
      <c r="A23" s="30" t="s">
        <v>1204</v>
      </c>
    </row>
    <row r="24" spans="1:3" ht="51">
      <c r="A24" t="s">
        <v>1205</v>
      </c>
      <c r="C24" t="s">
        <v>1206</v>
      </c>
    </row>
    <row r="25" spans="1:3">
      <c r="A25" t="s">
        <v>1207</v>
      </c>
      <c r="C25" t="s">
        <v>1208</v>
      </c>
    </row>
    <row r="26" spans="1:3" ht="51">
      <c r="A26" t="s">
        <v>1209</v>
      </c>
      <c r="C26" t="s">
        <v>1210</v>
      </c>
    </row>
    <row r="27" spans="1:3" ht="51">
      <c r="A27" t="s">
        <v>1211</v>
      </c>
      <c r="C27" t="s">
        <v>1212</v>
      </c>
    </row>
    <row r="28" spans="1:3" ht="51">
      <c r="A28" t="s">
        <v>1213</v>
      </c>
      <c r="C28" t="s">
        <v>1214</v>
      </c>
    </row>
    <row r="29" spans="1:3" ht="25.5">
      <c r="A29" t="s">
        <v>1215</v>
      </c>
      <c r="C29" t="s">
        <v>1216</v>
      </c>
    </row>
    <row r="30" spans="1:3" ht="25.5">
      <c r="A30" t="s">
        <v>1217</v>
      </c>
      <c r="C30" t="s">
        <v>1218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zoomScale="65" zoomScaleNormal="65" zoomScaleSheetLayoutView="100" workbookViewId="0">
      <selection sqref="A1:L2"/>
    </sheetView>
  </sheetViews>
  <sheetFormatPr baseColWidth="10" defaultColWidth="11.5703125" defaultRowHeight="12.75"/>
  <sheetData>
    <row r="1" spans="1:2" ht="38.25">
      <c r="A1" s="30" t="s">
        <v>1219</v>
      </c>
      <c r="B1" t="s">
        <v>1220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zoomScale="65" zoomScaleNormal="65" zoomScaleSheetLayoutView="100" workbookViewId="0">
      <selection sqref="A1:L2"/>
    </sheetView>
  </sheetViews>
  <sheetFormatPr baseColWidth="10" defaultColWidth="11.5703125" defaultRowHeight="12.75"/>
  <cols>
    <col min="1" max="2" width="11.5703125" style="31"/>
    <col min="3" max="3" width="11.5703125" style="32"/>
    <col min="4" max="4" width="17.7109375" style="33" customWidth="1"/>
  </cols>
  <sheetData>
    <row r="2" spans="1:4">
      <c r="C2" s="32" t="s">
        <v>1221</v>
      </c>
      <c r="D2" s="33" t="s">
        <v>1222</v>
      </c>
    </row>
    <row r="3" spans="1:4">
      <c r="A3" s="31" t="s">
        <v>1223</v>
      </c>
      <c r="C3" s="32" t="s">
        <v>1224</v>
      </c>
      <c r="D3" s="33" t="s">
        <v>1225</v>
      </c>
    </row>
    <row r="5" spans="1:4">
      <c r="A5" s="31" t="s">
        <v>1226</v>
      </c>
      <c r="B5" s="31" t="s">
        <v>1227</v>
      </c>
      <c r="C5" s="32" t="s">
        <v>1228</v>
      </c>
      <c r="D5" s="33" t="s">
        <v>1225</v>
      </c>
    </row>
    <row r="7" spans="1:4" ht="25.5">
      <c r="A7" s="31" t="s">
        <v>1229</v>
      </c>
      <c r="C7" s="32" t="s">
        <v>1230</v>
      </c>
      <c r="D7" s="33" t="s">
        <v>1231</v>
      </c>
    </row>
    <row r="9" spans="1:4">
      <c r="A9" s="31" t="s">
        <v>1232</v>
      </c>
      <c r="C9" s="32">
        <v>3400026</v>
      </c>
      <c r="D9" s="33" t="s">
        <v>1233</v>
      </c>
    </row>
    <row r="11" spans="1:4" ht="25.5">
      <c r="A11" s="31" t="s">
        <v>1234</v>
      </c>
      <c r="C11" s="32" t="s">
        <v>1235</v>
      </c>
      <c r="D11" s="33" t="s">
        <v>1236</v>
      </c>
    </row>
    <row r="12" spans="1:4" ht="25.5">
      <c r="A12" s="31" t="s">
        <v>1237</v>
      </c>
      <c r="C12" s="32" t="s">
        <v>1238</v>
      </c>
      <c r="D12" s="33" t="s">
        <v>1239</v>
      </c>
    </row>
    <row r="14" spans="1:4">
      <c r="A14" s="31" t="s">
        <v>1240</v>
      </c>
      <c r="C14" s="32">
        <v>340011</v>
      </c>
      <c r="D14" s="33" t="s">
        <v>1241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8"/>
  <sheetViews>
    <sheetView topLeftCell="V1" zoomScale="65" zoomScaleNormal="65" zoomScaleSheetLayoutView="100" workbookViewId="0">
      <selection activeCell="L16" sqref="L16"/>
    </sheetView>
  </sheetViews>
  <sheetFormatPr baseColWidth="10" defaultColWidth="11.5703125" defaultRowHeight="12.75"/>
  <cols>
    <col min="2" max="2" width="18" bestFit="1" customWidth="1"/>
    <col min="4" max="4" width="17.5703125" bestFit="1" customWidth="1"/>
    <col min="5" max="5" width="17.7109375" customWidth="1"/>
    <col min="6" max="6" width="17.5703125" bestFit="1" customWidth="1"/>
    <col min="8" max="12" width="16.7109375" customWidth="1"/>
    <col min="29" max="29" width="18" bestFit="1" customWidth="1"/>
    <col min="42" max="42" width="12.7109375" bestFit="1" customWidth="1"/>
  </cols>
  <sheetData>
    <row r="1" spans="1:43" ht="15">
      <c r="A1" s="88" t="s">
        <v>1242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 t="s">
        <v>1243</v>
      </c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0" t="s">
        <v>1244</v>
      </c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12"/>
    </row>
    <row r="2" spans="1:43" ht="1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12"/>
    </row>
    <row r="3" spans="1:43" ht="101.1" customHeight="1">
      <c r="A3" s="34"/>
      <c r="B3" s="35" t="s">
        <v>1245</v>
      </c>
      <c r="C3" s="36" t="s">
        <v>1246</v>
      </c>
      <c r="D3" s="35" t="s">
        <v>1247</v>
      </c>
      <c r="E3" s="35" t="s">
        <v>1248</v>
      </c>
      <c r="F3" s="35" t="s">
        <v>1249</v>
      </c>
      <c r="G3" s="36" t="s">
        <v>1246</v>
      </c>
      <c r="H3" s="35" t="s">
        <v>1250</v>
      </c>
      <c r="I3" s="35" t="s">
        <v>1353</v>
      </c>
      <c r="J3" s="35" t="s">
        <v>1252</v>
      </c>
      <c r="K3" s="35" t="s">
        <v>1253</v>
      </c>
      <c r="L3" s="35" t="s">
        <v>1396</v>
      </c>
      <c r="M3" s="97" t="s">
        <v>1255</v>
      </c>
      <c r="N3" s="97"/>
      <c r="O3" s="98" t="s">
        <v>1255</v>
      </c>
      <c r="P3" s="98"/>
      <c r="Q3" s="35" t="s">
        <v>1255</v>
      </c>
      <c r="R3" s="35" t="s">
        <v>1256</v>
      </c>
      <c r="S3" s="98" t="s">
        <v>1246</v>
      </c>
      <c r="T3" s="98"/>
      <c r="U3" s="35" t="s">
        <v>1257</v>
      </c>
      <c r="V3" s="36" t="s">
        <v>1246</v>
      </c>
      <c r="W3" s="36" t="s">
        <v>1246</v>
      </c>
      <c r="X3" s="99" t="s">
        <v>1258</v>
      </c>
      <c r="Y3" s="99"/>
      <c r="Z3" s="36" t="s">
        <v>1246</v>
      </c>
      <c r="AA3" s="35" t="s">
        <v>1259</v>
      </c>
      <c r="AB3" s="35" t="s">
        <v>1260</v>
      </c>
      <c r="AC3" s="35" t="s">
        <v>1261</v>
      </c>
      <c r="AD3" s="35" t="s">
        <v>1262</v>
      </c>
      <c r="AE3" s="35" t="s">
        <v>1263</v>
      </c>
      <c r="AF3" s="35" t="s">
        <v>1264</v>
      </c>
      <c r="AG3" s="35" t="s">
        <v>1265</v>
      </c>
      <c r="AH3" s="35" t="s">
        <v>1266</v>
      </c>
      <c r="AI3" s="35" t="s">
        <v>1267</v>
      </c>
      <c r="AJ3" s="35" t="s">
        <v>1268</v>
      </c>
      <c r="AK3" s="37" t="s">
        <v>1269</v>
      </c>
      <c r="AL3" s="36" t="s">
        <v>1246</v>
      </c>
      <c r="AM3" s="36" t="s">
        <v>1246</v>
      </c>
      <c r="AN3" s="38" t="s">
        <v>1246</v>
      </c>
      <c r="AO3" s="38" t="s">
        <v>1246</v>
      </c>
      <c r="AP3" s="39" t="s">
        <v>1246</v>
      </c>
    </row>
    <row r="4" spans="1:43" ht="78.75">
      <c r="A4" s="13" t="s">
        <v>1270</v>
      </c>
      <c r="B4" s="40" t="s">
        <v>1271</v>
      </c>
      <c r="C4" s="40" t="s">
        <v>1272</v>
      </c>
      <c r="D4" s="40" t="s">
        <v>1273</v>
      </c>
      <c r="E4" s="40" t="s">
        <v>1274</v>
      </c>
      <c r="F4" s="40" t="s">
        <v>1275</v>
      </c>
      <c r="G4" s="40" t="s">
        <v>1276</v>
      </c>
      <c r="H4" s="40" t="s">
        <v>1277</v>
      </c>
      <c r="I4" s="40" t="s">
        <v>1278</v>
      </c>
      <c r="J4" s="40" t="s">
        <v>1279</v>
      </c>
      <c r="K4" s="40" t="s">
        <v>1280</v>
      </c>
      <c r="L4" s="40" t="s">
        <v>1395</v>
      </c>
      <c r="M4" s="41" t="s">
        <v>1282</v>
      </c>
      <c r="N4" s="41" t="s">
        <v>1283</v>
      </c>
      <c r="O4" s="40" t="s">
        <v>1284</v>
      </c>
      <c r="P4" s="40" t="s">
        <v>1285</v>
      </c>
      <c r="Q4" s="40" t="s">
        <v>1286</v>
      </c>
      <c r="R4" s="40" t="s">
        <v>1287</v>
      </c>
      <c r="S4" s="40" t="s">
        <v>1282</v>
      </c>
      <c r="T4" s="40" t="s">
        <v>1288</v>
      </c>
      <c r="U4" s="40" t="s">
        <v>1289</v>
      </c>
      <c r="V4" s="40" t="s">
        <v>1290</v>
      </c>
      <c r="W4" s="40" t="s">
        <v>1291</v>
      </c>
      <c r="X4" s="40" t="s">
        <v>1282</v>
      </c>
      <c r="Y4" s="40" t="s">
        <v>1292</v>
      </c>
      <c r="Z4" s="40" t="s">
        <v>1293</v>
      </c>
      <c r="AA4" s="40" t="s">
        <v>1294</v>
      </c>
      <c r="AB4" s="40" t="s">
        <v>1295</v>
      </c>
      <c r="AC4" s="40" t="s">
        <v>1296</v>
      </c>
      <c r="AD4" s="40" t="s">
        <v>1297</v>
      </c>
      <c r="AE4" s="40" t="s">
        <v>1298</v>
      </c>
      <c r="AF4" s="40" t="s">
        <v>1299</v>
      </c>
      <c r="AG4" s="40" t="s">
        <v>1300</v>
      </c>
      <c r="AH4" s="40" t="s">
        <v>1301</v>
      </c>
      <c r="AI4" s="40" t="s">
        <v>1302</v>
      </c>
      <c r="AJ4" s="40" t="s">
        <v>1303</v>
      </c>
      <c r="AK4" s="42" t="s">
        <v>1304</v>
      </c>
      <c r="AL4" s="40" t="s">
        <v>1305</v>
      </c>
      <c r="AM4" s="40" t="s">
        <v>1306</v>
      </c>
      <c r="AN4" s="42" t="s">
        <v>1307</v>
      </c>
      <c r="AO4" s="42" t="s">
        <v>1308</v>
      </c>
      <c r="AP4" s="15" t="s">
        <v>1309</v>
      </c>
    </row>
    <row r="6" spans="1:43" ht="34.35" customHeight="1">
      <c r="A6" s="96" t="s">
        <v>1310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</row>
    <row r="7" spans="1:43" ht="15" customHeight="1">
      <c r="A7" s="88" t="s">
        <v>1311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 t="s">
        <v>1243</v>
      </c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100" t="s">
        <v>1312</v>
      </c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2"/>
    </row>
    <row r="8" spans="1:43" ht="15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2"/>
    </row>
    <row r="9" spans="1:43" ht="172.15" customHeight="1">
      <c r="A9" s="43"/>
      <c r="B9" s="44" t="s">
        <v>1361</v>
      </c>
      <c r="C9" s="59" t="s">
        <v>1246</v>
      </c>
      <c r="D9" s="44" t="s">
        <v>1352</v>
      </c>
      <c r="E9" s="44" t="s">
        <v>1362</v>
      </c>
      <c r="F9" s="44" t="s">
        <v>1313</v>
      </c>
      <c r="G9" s="59" t="s">
        <v>1246</v>
      </c>
      <c r="H9" s="44" t="s">
        <v>1363</v>
      </c>
      <c r="I9" s="44" t="s">
        <v>1314</v>
      </c>
      <c r="J9" s="44" t="s">
        <v>1397</v>
      </c>
      <c r="K9" s="44" t="s">
        <v>1315</v>
      </c>
      <c r="L9" s="44" t="s">
        <v>1398</v>
      </c>
      <c r="M9" s="105" t="s">
        <v>1358</v>
      </c>
      <c r="N9" s="105"/>
      <c r="O9" s="106" t="s">
        <v>1364</v>
      </c>
      <c r="P9" s="106"/>
      <c r="Q9" s="69" t="s">
        <v>1364</v>
      </c>
      <c r="R9" s="59" t="s">
        <v>1246</v>
      </c>
      <c r="S9" s="98" t="s">
        <v>1246</v>
      </c>
      <c r="T9" s="98"/>
      <c r="U9" s="69" t="s">
        <v>1364</v>
      </c>
      <c r="V9" s="59" t="s">
        <v>1246</v>
      </c>
      <c r="W9" s="59" t="s">
        <v>1246</v>
      </c>
      <c r="X9" s="99" t="s">
        <v>1365</v>
      </c>
      <c r="Y9" s="99"/>
      <c r="Z9" s="59" t="s">
        <v>1246</v>
      </c>
      <c r="AA9" s="44" t="s">
        <v>1316</v>
      </c>
      <c r="AB9" s="44" t="s">
        <v>1317</v>
      </c>
      <c r="AC9" s="44" t="s">
        <v>1357</v>
      </c>
      <c r="AD9" s="44" t="s">
        <v>1318</v>
      </c>
      <c r="AE9" s="44" t="s">
        <v>1319</v>
      </c>
      <c r="AF9" s="44" t="s">
        <v>1320</v>
      </c>
      <c r="AG9" s="53" t="s">
        <v>1265</v>
      </c>
      <c r="AH9" s="44" t="s">
        <v>1321</v>
      </c>
      <c r="AI9" s="44" t="s">
        <v>1354</v>
      </c>
      <c r="AJ9" s="53" t="s">
        <v>1366</v>
      </c>
      <c r="AK9" s="48" t="s">
        <v>1322</v>
      </c>
      <c r="AL9" s="59" t="s">
        <v>1246</v>
      </c>
      <c r="AM9" s="59" t="s">
        <v>1246</v>
      </c>
      <c r="AN9" s="38" t="s">
        <v>1246</v>
      </c>
      <c r="AO9" s="38" t="s">
        <v>1246</v>
      </c>
      <c r="AP9" s="39" t="s">
        <v>1246</v>
      </c>
      <c r="AQ9" s="58" t="s">
        <v>1356</v>
      </c>
    </row>
    <row r="10" spans="1:43" ht="78.75">
      <c r="A10" s="13" t="s">
        <v>1367</v>
      </c>
      <c r="B10" s="15" t="s">
        <v>1271</v>
      </c>
      <c r="C10" s="15" t="s">
        <v>1323</v>
      </c>
      <c r="D10" s="15" t="s">
        <v>1273</v>
      </c>
      <c r="E10" s="15" t="s">
        <v>1274</v>
      </c>
      <c r="F10" s="15" t="s">
        <v>1275</v>
      </c>
      <c r="G10" s="40" t="s">
        <v>1276</v>
      </c>
      <c r="H10" s="15" t="s">
        <v>1277</v>
      </c>
      <c r="I10" s="15" t="s">
        <v>1278</v>
      </c>
      <c r="J10" s="15" t="s">
        <v>1279</v>
      </c>
      <c r="K10" s="15" t="s">
        <v>1280</v>
      </c>
      <c r="L10" s="15" t="s">
        <v>1395</v>
      </c>
      <c r="M10" s="49" t="s">
        <v>1324</v>
      </c>
      <c r="N10" s="49" t="s">
        <v>1325</v>
      </c>
      <c r="O10" s="15" t="s">
        <v>1284</v>
      </c>
      <c r="P10" s="15" t="s">
        <v>1285</v>
      </c>
      <c r="Q10" s="15" t="s">
        <v>1286</v>
      </c>
      <c r="R10" s="15" t="s">
        <v>1287</v>
      </c>
      <c r="S10" s="40" t="s">
        <v>1368</v>
      </c>
      <c r="T10" s="40" t="s">
        <v>1288</v>
      </c>
      <c r="U10" s="40" t="s">
        <v>1289</v>
      </c>
      <c r="V10" s="40" t="s">
        <v>1369</v>
      </c>
      <c r="W10" s="40" t="s">
        <v>1370</v>
      </c>
      <c r="X10" s="40" t="s">
        <v>1368</v>
      </c>
      <c r="Y10" s="40" t="s">
        <v>1292</v>
      </c>
      <c r="Z10" s="40" t="s">
        <v>1371</v>
      </c>
      <c r="AA10" s="15" t="s">
        <v>1294</v>
      </c>
      <c r="AB10" s="15" t="s">
        <v>1295</v>
      </c>
      <c r="AC10" s="15" t="s">
        <v>1296</v>
      </c>
      <c r="AD10" s="15" t="s">
        <v>1360</v>
      </c>
      <c r="AE10" s="15" t="s">
        <v>1298</v>
      </c>
      <c r="AF10" s="15" t="s">
        <v>1299</v>
      </c>
      <c r="AG10" s="15" t="s">
        <v>1300</v>
      </c>
      <c r="AH10" s="15" t="s">
        <v>1301</v>
      </c>
      <c r="AI10" s="15" t="s">
        <v>1302</v>
      </c>
      <c r="AJ10" s="15" t="s">
        <v>1372</v>
      </c>
      <c r="AK10" s="52" t="s">
        <v>1355</v>
      </c>
      <c r="AL10" s="15" t="s">
        <v>1305</v>
      </c>
      <c r="AM10" s="15" t="s">
        <v>1306</v>
      </c>
      <c r="AN10" s="42" t="s">
        <v>1307</v>
      </c>
      <c r="AO10" s="42" t="s">
        <v>1359</v>
      </c>
      <c r="AP10" s="15" t="s">
        <v>1309</v>
      </c>
    </row>
    <row r="12" spans="1:43" ht="34.35" customHeight="1">
      <c r="A12" s="96" t="s">
        <v>1326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</row>
    <row r="13" spans="1:43" ht="15">
      <c r="A13" s="88" t="s">
        <v>1327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9" t="s">
        <v>1243</v>
      </c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100" t="s">
        <v>1328</v>
      </c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2"/>
    </row>
    <row r="14" spans="1:43" ht="1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2"/>
    </row>
    <row r="15" spans="1:43" ht="126.2" customHeight="1">
      <c r="A15" s="34"/>
      <c r="B15" s="53" t="s">
        <v>1329</v>
      </c>
      <c r="C15" s="36" t="s">
        <v>1246</v>
      </c>
      <c r="D15" s="53" t="s">
        <v>1330</v>
      </c>
      <c r="E15" s="53" t="s">
        <v>1331</v>
      </c>
      <c r="F15" s="53" t="s">
        <v>1332</v>
      </c>
      <c r="G15" s="36" t="s">
        <v>1246</v>
      </c>
      <c r="H15" s="53" t="s">
        <v>1333</v>
      </c>
      <c r="I15" s="53" t="s">
        <v>1334</v>
      </c>
      <c r="J15" s="53" t="s">
        <v>1335</v>
      </c>
      <c r="K15" s="53" t="s">
        <v>1336</v>
      </c>
      <c r="L15" s="53" t="s">
        <v>1399</v>
      </c>
      <c r="M15" s="101" t="s">
        <v>1337</v>
      </c>
      <c r="N15" s="101"/>
      <c r="O15" s="102" t="s">
        <v>1255</v>
      </c>
      <c r="P15" s="102"/>
      <c r="Q15" s="45" t="s">
        <v>1255</v>
      </c>
      <c r="R15" s="45" t="s">
        <v>1256</v>
      </c>
      <c r="S15" s="103" t="s">
        <v>1246</v>
      </c>
      <c r="T15" s="103"/>
      <c r="U15" s="47" t="s">
        <v>1257</v>
      </c>
      <c r="V15" s="46" t="s">
        <v>1246</v>
      </c>
      <c r="W15" s="46" t="s">
        <v>1246</v>
      </c>
      <c r="X15" s="104" t="s">
        <v>1258</v>
      </c>
      <c r="Y15" s="104"/>
      <c r="Z15" s="46" t="s">
        <v>1246</v>
      </c>
      <c r="AA15" s="53" t="s">
        <v>1338</v>
      </c>
      <c r="AB15" s="53" t="s">
        <v>1339</v>
      </c>
      <c r="AC15" s="53" t="s">
        <v>1340</v>
      </c>
      <c r="AD15" s="53" t="s">
        <v>1341</v>
      </c>
      <c r="AE15" s="53" t="s">
        <v>1342</v>
      </c>
      <c r="AF15" s="53" t="s">
        <v>1343</v>
      </c>
      <c r="AG15" s="53" t="s">
        <v>1265</v>
      </c>
      <c r="AH15" s="53" t="s">
        <v>1344</v>
      </c>
      <c r="AI15" s="53" t="s">
        <v>1345</v>
      </c>
      <c r="AJ15" s="56" t="s">
        <v>1268</v>
      </c>
      <c r="AK15" s="54" t="s">
        <v>1346</v>
      </c>
      <c r="AL15" s="36" t="s">
        <v>1246</v>
      </c>
      <c r="AM15" s="36" t="s">
        <v>1246</v>
      </c>
      <c r="AN15" s="38" t="s">
        <v>1246</v>
      </c>
      <c r="AO15" s="38" t="s">
        <v>1246</v>
      </c>
      <c r="AP15" s="39" t="s">
        <v>1246</v>
      </c>
    </row>
    <row r="16" spans="1:43" ht="78.75">
      <c r="A16" s="13" t="s">
        <v>1347</v>
      </c>
      <c r="B16" s="15" t="s">
        <v>1271</v>
      </c>
      <c r="C16" s="15" t="s">
        <v>1323</v>
      </c>
      <c r="D16" s="15" t="s">
        <v>1273</v>
      </c>
      <c r="E16" s="15" t="s">
        <v>1274</v>
      </c>
      <c r="F16" s="15" t="s">
        <v>1275</v>
      </c>
      <c r="G16" s="40" t="s">
        <v>1276</v>
      </c>
      <c r="H16" s="15" t="s">
        <v>1277</v>
      </c>
      <c r="I16" s="15" t="s">
        <v>1278</v>
      </c>
      <c r="J16" s="15" t="s">
        <v>1279</v>
      </c>
      <c r="K16" s="15" t="s">
        <v>1280</v>
      </c>
      <c r="L16" s="15" t="s">
        <v>1395</v>
      </c>
      <c r="M16" s="49" t="s">
        <v>1282</v>
      </c>
      <c r="N16" s="49" t="s">
        <v>1348</v>
      </c>
      <c r="O16" s="50" t="s">
        <v>1284</v>
      </c>
      <c r="P16" s="50" t="s">
        <v>1285</v>
      </c>
      <c r="Q16" s="50" t="s">
        <v>1286</v>
      </c>
      <c r="R16" s="50" t="s">
        <v>1287</v>
      </c>
      <c r="S16" s="51" t="s">
        <v>1282</v>
      </c>
      <c r="T16" s="51" t="s">
        <v>1288</v>
      </c>
      <c r="U16" s="51" t="s">
        <v>1289</v>
      </c>
      <c r="V16" s="51" t="s">
        <v>1290</v>
      </c>
      <c r="W16" s="51" t="s">
        <v>1291</v>
      </c>
      <c r="X16" s="51" t="s">
        <v>1282</v>
      </c>
      <c r="Y16" s="51" t="s">
        <v>1292</v>
      </c>
      <c r="Z16" s="51" t="s">
        <v>1293</v>
      </c>
      <c r="AA16" s="15" t="s">
        <v>1294</v>
      </c>
      <c r="AB16" s="15" t="s">
        <v>1295</v>
      </c>
      <c r="AC16" s="15" t="s">
        <v>1296</v>
      </c>
      <c r="AD16" s="15" t="s">
        <v>1297</v>
      </c>
      <c r="AE16" s="15" t="s">
        <v>1298</v>
      </c>
      <c r="AF16" s="15" t="s">
        <v>1299</v>
      </c>
      <c r="AG16" s="15" t="s">
        <v>1300</v>
      </c>
      <c r="AH16" s="15" t="s">
        <v>1301</v>
      </c>
      <c r="AI16" s="15" t="s">
        <v>1302</v>
      </c>
      <c r="AJ16" s="57" t="s">
        <v>1303</v>
      </c>
      <c r="AK16" s="52" t="s">
        <v>1304</v>
      </c>
      <c r="AL16" s="15" t="s">
        <v>1305</v>
      </c>
      <c r="AM16" s="15" t="s">
        <v>1306</v>
      </c>
      <c r="AN16" s="55" t="s">
        <v>1307</v>
      </c>
      <c r="AO16" s="55" t="s">
        <v>1349</v>
      </c>
      <c r="AP16" s="15" t="s">
        <v>1309</v>
      </c>
    </row>
    <row r="18" spans="1:42" ht="34.35" customHeight="1">
      <c r="A18" s="96" t="s">
        <v>1350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</row>
    <row r="19" spans="1:42" ht="15">
      <c r="A19" s="88" t="s">
        <v>1242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9" t="s">
        <v>1243</v>
      </c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90" t="s">
        <v>1244</v>
      </c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12"/>
    </row>
    <row r="20" spans="1:42" ht="1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12"/>
    </row>
    <row r="21" spans="1:42" ht="103.35" customHeight="1">
      <c r="A21" s="34"/>
      <c r="B21" s="35" t="s">
        <v>1245</v>
      </c>
      <c r="C21" s="36" t="s">
        <v>1246</v>
      </c>
      <c r="D21" s="35" t="s">
        <v>1247</v>
      </c>
      <c r="E21" s="35" t="s">
        <v>1248</v>
      </c>
      <c r="F21" s="35" t="s">
        <v>1249</v>
      </c>
      <c r="G21" s="36" t="s">
        <v>1246</v>
      </c>
      <c r="H21" s="35" t="s">
        <v>1250</v>
      </c>
      <c r="I21" s="35" t="s">
        <v>1251</v>
      </c>
      <c r="J21" s="35" t="s">
        <v>1252</v>
      </c>
      <c r="K21" s="35" t="s">
        <v>1253</v>
      </c>
      <c r="L21" s="35" t="s">
        <v>1254</v>
      </c>
      <c r="M21" s="97" t="s">
        <v>1255</v>
      </c>
      <c r="N21" s="97"/>
      <c r="O21" s="98" t="s">
        <v>1255</v>
      </c>
      <c r="P21" s="98"/>
      <c r="Q21" s="35" t="s">
        <v>1255</v>
      </c>
      <c r="R21" s="35" t="s">
        <v>1256</v>
      </c>
      <c r="S21" s="98" t="s">
        <v>1246</v>
      </c>
      <c r="T21" s="98"/>
      <c r="U21" s="35" t="s">
        <v>1257</v>
      </c>
      <c r="V21" s="36" t="s">
        <v>1246</v>
      </c>
      <c r="W21" s="36" t="s">
        <v>1246</v>
      </c>
      <c r="X21" s="99" t="s">
        <v>1258</v>
      </c>
      <c r="Y21" s="99"/>
      <c r="Z21" s="36" t="s">
        <v>1246</v>
      </c>
      <c r="AA21" s="35" t="s">
        <v>1259</v>
      </c>
      <c r="AB21" s="35" t="s">
        <v>1260</v>
      </c>
      <c r="AC21" s="35" t="s">
        <v>1261</v>
      </c>
      <c r="AD21" s="35" t="s">
        <v>1262</v>
      </c>
      <c r="AE21" s="35" t="s">
        <v>1263</v>
      </c>
      <c r="AF21" s="35" t="s">
        <v>1264</v>
      </c>
      <c r="AG21" s="35" t="s">
        <v>1265</v>
      </c>
      <c r="AH21" s="35" t="s">
        <v>1266</v>
      </c>
      <c r="AI21" s="35" t="s">
        <v>1267</v>
      </c>
      <c r="AJ21" s="35" t="s">
        <v>1268</v>
      </c>
      <c r="AK21" s="37" t="s">
        <v>1269</v>
      </c>
      <c r="AL21" s="36" t="s">
        <v>1246</v>
      </c>
      <c r="AM21" s="36" t="s">
        <v>1246</v>
      </c>
      <c r="AN21" s="38" t="s">
        <v>1246</v>
      </c>
      <c r="AO21" s="38" t="s">
        <v>1246</v>
      </c>
      <c r="AP21" s="39" t="s">
        <v>1246</v>
      </c>
    </row>
    <row r="22" spans="1:42" ht="78.75">
      <c r="A22" s="13" t="s">
        <v>1270</v>
      </c>
      <c r="B22" s="40" t="s">
        <v>1271</v>
      </c>
      <c r="C22" s="40" t="s">
        <v>1272</v>
      </c>
      <c r="D22" s="40" t="s">
        <v>1273</v>
      </c>
      <c r="E22" s="40" t="s">
        <v>1274</v>
      </c>
      <c r="F22" s="40" t="s">
        <v>1275</v>
      </c>
      <c r="G22" s="40" t="s">
        <v>1276</v>
      </c>
      <c r="H22" s="40" t="s">
        <v>1277</v>
      </c>
      <c r="I22" s="40" t="s">
        <v>1278</v>
      </c>
      <c r="J22" s="40" t="s">
        <v>1279</v>
      </c>
      <c r="K22" s="40" t="s">
        <v>1280</v>
      </c>
      <c r="L22" s="40" t="s">
        <v>1395</v>
      </c>
      <c r="M22" s="41" t="s">
        <v>1282</v>
      </c>
      <c r="N22" s="41" t="s">
        <v>1283</v>
      </c>
      <c r="O22" s="40" t="s">
        <v>1284</v>
      </c>
      <c r="P22" s="40" t="s">
        <v>1285</v>
      </c>
      <c r="Q22" s="40" t="s">
        <v>1286</v>
      </c>
      <c r="R22" s="40" t="s">
        <v>1287</v>
      </c>
      <c r="S22" s="40" t="s">
        <v>1282</v>
      </c>
      <c r="T22" s="40" t="s">
        <v>1288</v>
      </c>
      <c r="U22" s="40" t="s">
        <v>1289</v>
      </c>
      <c r="V22" s="40" t="s">
        <v>1290</v>
      </c>
      <c r="W22" s="40" t="s">
        <v>1291</v>
      </c>
      <c r="X22" s="40" t="s">
        <v>1282</v>
      </c>
      <c r="Y22" s="40" t="s">
        <v>1292</v>
      </c>
      <c r="Z22" s="40" t="s">
        <v>1293</v>
      </c>
      <c r="AA22" s="40" t="s">
        <v>1294</v>
      </c>
      <c r="AB22" s="40" t="s">
        <v>1295</v>
      </c>
      <c r="AC22" s="40" t="s">
        <v>1296</v>
      </c>
      <c r="AD22" s="40" t="s">
        <v>1297</v>
      </c>
      <c r="AE22" s="40" t="s">
        <v>1298</v>
      </c>
      <c r="AF22" s="40" t="s">
        <v>1299</v>
      </c>
      <c r="AG22" s="40" t="s">
        <v>1300</v>
      </c>
      <c r="AH22" s="40" t="s">
        <v>1301</v>
      </c>
      <c r="AI22" s="40" t="s">
        <v>1302</v>
      </c>
      <c r="AJ22" s="40" t="s">
        <v>1303</v>
      </c>
      <c r="AK22" s="42" t="s">
        <v>1304</v>
      </c>
      <c r="AL22" s="40" t="s">
        <v>1305</v>
      </c>
      <c r="AM22" s="40" t="s">
        <v>1306</v>
      </c>
      <c r="AN22" s="42" t="s">
        <v>1307</v>
      </c>
      <c r="AO22" s="42" t="s">
        <v>1308</v>
      </c>
      <c r="AP22" s="15" t="s">
        <v>1309</v>
      </c>
    </row>
    <row r="24" spans="1:42" ht="34.35" customHeight="1">
      <c r="A24" s="96" t="s">
        <v>1351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</row>
    <row r="25" spans="1:42" ht="15">
      <c r="A25" s="88" t="s">
        <v>1242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9" t="s">
        <v>1243</v>
      </c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90" t="s">
        <v>1244</v>
      </c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12"/>
    </row>
    <row r="26" spans="1:42" ht="1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12"/>
    </row>
    <row r="27" spans="1:42" ht="103.35" customHeight="1">
      <c r="A27" s="34"/>
      <c r="B27" s="35" t="s">
        <v>1245</v>
      </c>
      <c r="C27" s="36" t="s">
        <v>1246</v>
      </c>
      <c r="D27" s="35" t="s">
        <v>1247</v>
      </c>
      <c r="E27" s="35" t="s">
        <v>1248</v>
      </c>
      <c r="F27" s="35" t="s">
        <v>1249</v>
      </c>
      <c r="G27" s="36" t="s">
        <v>1246</v>
      </c>
      <c r="H27" s="35" t="s">
        <v>1250</v>
      </c>
      <c r="I27" s="35" t="s">
        <v>1251</v>
      </c>
      <c r="J27" s="35" t="s">
        <v>1252</v>
      </c>
      <c r="K27" s="35" t="s">
        <v>1253</v>
      </c>
      <c r="L27" s="35" t="s">
        <v>1254</v>
      </c>
      <c r="M27" s="97" t="s">
        <v>1255</v>
      </c>
      <c r="N27" s="97"/>
      <c r="O27" s="98" t="s">
        <v>1255</v>
      </c>
      <c r="P27" s="98"/>
      <c r="Q27" s="35" t="s">
        <v>1255</v>
      </c>
      <c r="R27" s="35" t="s">
        <v>1256</v>
      </c>
      <c r="S27" s="98" t="s">
        <v>1246</v>
      </c>
      <c r="T27" s="98"/>
      <c r="U27" s="35" t="s">
        <v>1257</v>
      </c>
      <c r="V27" s="36" t="s">
        <v>1246</v>
      </c>
      <c r="W27" s="36" t="s">
        <v>1246</v>
      </c>
      <c r="X27" s="99" t="s">
        <v>1258</v>
      </c>
      <c r="Y27" s="99"/>
      <c r="Z27" s="36" t="s">
        <v>1246</v>
      </c>
      <c r="AA27" s="35" t="s">
        <v>1259</v>
      </c>
      <c r="AB27" s="35" t="s">
        <v>1260</v>
      </c>
      <c r="AC27" s="35" t="s">
        <v>1261</v>
      </c>
      <c r="AD27" s="35" t="s">
        <v>1262</v>
      </c>
      <c r="AE27" s="35" t="s">
        <v>1263</v>
      </c>
      <c r="AF27" s="35" t="s">
        <v>1264</v>
      </c>
      <c r="AG27" s="35" t="s">
        <v>1265</v>
      </c>
      <c r="AH27" s="35" t="s">
        <v>1266</v>
      </c>
      <c r="AI27" s="35" t="s">
        <v>1267</v>
      </c>
      <c r="AJ27" s="35" t="s">
        <v>1268</v>
      </c>
      <c r="AK27" s="37" t="s">
        <v>1269</v>
      </c>
      <c r="AL27" s="36" t="s">
        <v>1246</v>
      </c>
      <c r="AM27" s="36" t="s">
        <v>1246</v>
      </c>
      <c r="AN27" s="38" t="s">
        <v>1246</v>
      </c>
      <c r="AO27" s="38" t="s">
        <v>1246</v>
      </c>
      <c r="AP27" s="39" t="s">
        <v>1246</v>
      </c>
    </row>
    <row r="28" spans="1:42" ht="78.75">
      <c r="A28" s="13" t="s">
        <v>1270</v>
      </c>
      <c r="B28" s="40" t="s">
        <v>1271</v>
      </c>
      <c r="C28" s="40" t="s">
        <v>1272</v>
      </c>
      <c r="D28" s="40" t="s">
        <v>1273</v>
      </c>
      <c r="E28" s="40" t="s">
        <v>1274</v>
      </c>
      <c r="F28" s="40" t="s">
        <v>1275</v>
      </c>
      <c r="G28" s="40" t="s">
        <v>1276</v>
      </c>
      <c r="H28" s="40" t="s">
        <v>1277</v>
      </c>
      <c r="I28" s="40" t="s">
        <v>1278</v>
      </c>
      <c r="J28" s="40" t="s">
        <v>1279</v>
      </c>
      <c r="K28" s="40" t="s">
        <v>1280</v>
      </c>
      <c r="L28" s="40" t="s">
        <v>1281</v>
      </c>
      <c r="M28" s="41" t="s">
        <v>1282</v>
      </c>
      <c r="N28" s="41" t="s">
        <v>1283</v>
      </c>
      <c r="O28" s="40" t="s">
        <v>1284</v>
      </c>
      <c r="P28" s="40" t="s">
        <v>1285</v>
      </c>
      <c r="Q28" s="40" t="s">
        <v>1286</v>
      </c>
      <c r="R28" s="40" t="s">
        <v>1287</v>
      </c>
      <c r="S28" s="40" t="s">
        <v>1282</v>
      </c>
      <c r="T28" s="40" t="s">
        <v>1288</v>
      </c>
      <c r="U28" s="40" t="s">
        <v>1289</v>
      </c>
      <c r="V28" s="40" t="s">
        <v>1290</v>
      </c>
      <c r="W28" s="40" t="s">
        <v>1291</v>
      </c>
      <c r="X28" s="40" t="s">
        <v>1282</v>
      </c>
      <c r="Y28" s="40" t="s">
        <v>1292</v>
      </c>
      <c r="Z28" s="40" t="s">
        <v>1293</v>
      </c>
      <c r="AA28" s="40" t="s">
        <v>1294</v>
      </c>
      <c r="AB28" s="40" t="s">
        <v>1295</v>
      </c>
      <c r="AC28" s="40" t="s">
        <v>1296</v>
      </c>
      <c r="AD28" s="40" t="s">
        <v>1297</v>
      </c>
      <c r="AE28" s="40" t="s">
        <v>1298</v>
      </c>
      <c r="AF28" s="40" t="s">
        <v>1299</v>
      </c>
      <c r="AG28" s="40" t="s">
        <v>1300</v>
      </c>
      <c r="AH28" s="40" t="s">
        <v>1301</v>
      </c>
      <c r="AI28" s="40" t="s">
        <v>1302</v>
      </c>
      <c r="AJ28" s="40" t="s">
        <v>1303</v>
      </c>
      <c r="AK28" s="42" t="s">
        <v>1304</v>
      </c>
      <c r="AL28" s="40" t="s">
        <v>1305</v>
      </c>
      <c r="AM28" s="40" t="s">
        <v>1306</v>
      </c>
      <c r="AN28" s="42" t="s">
        <v>1307</v>
      </c>
      <c r="AO28" s="42" t="s">
        <v>1308</v>
      </c>
      <c r="AP28" s="15" t="s">
        <v>1309</v>
      </c>
    </row>
  </sheetData>
  <sheetProtection password="CDDB" sheet="1" objects="1" scenarios="1" selectLockedCells="1" selectUnlockedCells="1"/>
  <mergeCells count="39">
    <mergeCell ref="A1:L2"/>
    <mergeCell ref="M1:AB2"/>
    <mergeCell ref="AC1:AO2"/>
    <mergeCell ref="M3:N3"/>
    <mergeCell ref="O3:P3"/>
    <mergeCell ref="S3:T3"/>
    <mergeCell ref="X3:Y3"/>
    <mergeCell ref="A6:AP6"/>
    <mergeCell ref="A7:L8"/>
    <mergeCell ref="M7:AB8"/>
    <mergeCell ref="AC7:AO8"/>
    <mergeCell ref="M9:N9"/>
    <mergeCell ref="O9:P9"/>
    <mergeCell ref="S9:T9"/>
    <mergeCell ref="X9:Y9"/>
    <mergeCell ref="A12:AP12"/>
    <mergeCell ref="A13:L14"/>
    <mergeCell ref="M13:AB14"/>
    <mergeCell ref="AC13:AO14"/>
    <mergeCell ref="M15:N15"/>
    <mergeCell ref="O15:P15"/>
    <mergeCell ref="S15:T15"/>
    <mergeCell ref="X15:Y15"/>
    <mergeCell ref="A18:AP18"/>
    <mergeCell ref="A19:L20"/>
    <mergeCell ref="M19:AB20"/>
    <mergeCell ref="AC19:AO20"/>
    <mergeCell ref="M21:N21"/>
    <mergeCell ref="O21:P21"/>
    <mergeCell ref="S21:T21"/>
    <mergeCell ref="X21:Y21"/>
    <mergeCell ref="A24:AP24"/>
    <mergeCell ref="A25:L26"/>
    <mergeCell ref="M25:AB26"/>
    <mergeCell ref="AC25:AO26"/>
    <mergeCell ref="M27:N27"/>
    <mergeCell ref="O27:P27"/>
    <mergeCell ref="S27:T27"/>
    <mergeCell ref="X27:Y27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Produkteübersicht</vt:lpstr>
      <vt:lpstr>Fußnote</vt:lpstr>
      <vt:lpstr>LKF Kabel</vt:lpstr>
      <vt:lpstr>TabelleURL</vt:lpstr>
      <vt:lpstr>Universell</vt:lpstr>
      <vt:lpstr>Sprache</vt:lpstr>
      <vt:lpstr>__xlnm.Print_Area_1</vt:lpstr>
      <vt:lpstr>B_3406857</vt:lpstr>
      <vt:lpstr>Produkteübersicht!Druckbereich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Höss</dc:creator>
  <cp:lastModifiedBy>Paulius Noreika</cp:lastModifiedBy>
  <dcterms:created xsi:type="dcterms:W3CDTF">2017-03-24T12:13:28Z</dcterms:created>
  <dcterms:modified xsi:type="dcterms:W3CDTF">2018-07-26T11:20:50Z</dcterms:modified>
</cp:coreProperties>
</file>